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05" yWindow="-105" windowWidth="20640" windowHeight="11760" tabRatio="945"/>
  </bookViews>
  <sheets>
    <sheet name="!!! ФІНАНСОВИЙ ПЛАН 2023 !!!" sheetId="8" r:id="rId1"/>
    <sheet name="Доходи" sheetId="4" r:id="rId2"/>
    <sheet name="Видатки" sheetId="43" r:id="rId3"/>
    <sheet name="ОЗ-ІНМА" sheetId="39" r:id="rId4"/>
    <sheet name="2210" sheetId="37" r:id="rId5"/>
    <sheet name="2220" sheetId="36" r:id="rId6"/>
    <sheet name="2230" sheetId="35" r:id="rId7"/>
    <sheet name="2240" sheetId="38" r:id="rId8"/>
    <sheet name="ФОП" sheetId="42" r:id="rId9"/>
    <sheet name=" тарифікація 01.01" sheetId="21" r:id="rId10"/>
    <sheet name="тарифікація на 01. 04" sheetId="41" r:id="rId11"/>
    <sheet name="Енергоносії..." sheetId="40" r:id="rId12"/>
    <sheet name="Програма МБ 2023 рік" sheetId="26" r:id="rId13"/>
    <sheet name="0" sheetId="1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123Graph_XGRAPH3" hidden="1">[1]GDP!#REF!</definedName>
    <definedName name="_xlnm._FilterDatabase" localSheetId="9" hidden="1">' тарифікація 01.01'!$C$8:$X$456</definedName>
    <definedName name="_xlnm._FilterDatabase" localSheetId="13" hidden="1">'0'!$B$7:$E$7</definedName>
    <definedName name="ad">'[2]МТР Газ України'!$B$1</definedName>
    <definedName name="as">'[3]МТР Газ України'!$B$1</definedName>
    <definedName name="asdf">[4]Inform!$E$6</definedName>
    <definedName name="asdfg">[4]Inform!$F$2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>#REF!</definedName>
    <definedName name="CREXPORT">#REF!</definedName>
    <definedName name="Cе511">#REF!</definedName>
    <definedName name="d">'[8]МТР Газ України'!$B$4</definedName>
    <definedName name="dCPIb">[9]попер_роз!#REF!</definedName>
    <definedName name="Detail">#REF!</definedName>
    <definedName name="dPPIb">[9]попер_роз!#REF!</definedName>
    <definedName name="ds">'[10]7  Інші витрати'!#REF!</definedName>
    <definedName name="Fact_Type_ID">#REF!</definedName>
    <definedName name="G">'[11]МТР Газ України'!$B$1</definedName>
    <definedName name="Header">#REF!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n" hidden="1">{#N/A,#N/A,FALSE,"Лист4"}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[4]Inform!$E$5</definedName>
    <definedName name="qwert">[4]Inform!$G$2</definedName>
    <definedName name="qwerty">'[3]МТР Газ України'!$B$4</definedName>
    <definedName name="RText">#REF!</definedName>
    <definedName name="ShowFil">[13]!ShowFil</definedName>
    <definedName name="SU_ID">#REF!</definedName>
    <definedName name="Summery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tle">#REF!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wrn.Інструкція." hidden="1">{#N/A,#N/A,FALSE,"Лист4"}</definedName>
    <definedName name="yyyy">#REF!</definedName>
    <definedName name="zx">'[3]МТР Газ України'!$F$1</definedName>
    <definedName name="zxc">[4]Inform!$E$38</definedName>
    <definedName name="а">'[12]7  Інші витрати'!#REF!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в">#REF!</definedName>
    <definedName name="аен">'[23]МТР Газ України'!$B$4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_xlnm.Database" localSheetId="9">'[24]1111'!$B$1:$G$310</definedName>
    <definedName name="_xlnm.Database">'[25]Ener '!$A$1:$G$2645</definedName>
    <definedName name="бб" hidden="1">{#N/A,#N/A,FALSE,"Лист4"}</definedName>
    <definedName name="в">'[26]МТР Газ України'!$F$1</definedName>
    <definedName name="Валюта">#REF!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Т__Укртелеком">#REF!</definedName>
    <definedName name="ватт">'[27]БАЗА  '!#REF!</definedName>
    <definedName name="вау" hidden="1">{#N/A,#N/A,FALSE,"Лист4"}</definedName>
    <definedName name="вв" hidden="1">{#N/A,#N/A,FALSE,"Лист4"}</definedName>
    <definedName name="Віницька">#REF!</definedName>
    <definedName name="вмр" hidden="1">{#N/A,#N/A,FALSE,"Лист4"}</definedName>
    <definedName name="Волинська">#REF!</definedName>
    <definedName name="вруу" hidden="1">{#N/A,#N/A,FALSE,"Лист4"}</definedName>
    <definedName name="врууунуууу" hidden="1">{#N/A,#N/A,FALSE,"Лист4"}</definedName>
    <definedName name="ВсегоДбОстНаКонецПериода">#REF!</definedName>
    <definedName name="ВсегоДбОстНаНачалоПериода">#REF!</definedName>
    <definedName name="ВсегоКрОстНаКонецПериода">#REF!</definedName>
    <definedName name="ВсегоКрОстНаНачалоПериода">#REF!</definedName>
    <definedName name="ВсегоОборотПоДебету">#REF!</definedName>
    <definedName name="ВсегоОборотПоКредиту">#REF!</definedName>
    <definedName name="Всього">#REF!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">'[14]МТР Газ України'!$B$4</definedName>
    <definedName name="ДбВалОстНаКонецПериода">#REF!</definedName>
    <definedName name="ДбВалОстНаНачалоПериода">#REF!</definedName>
    <definedName name="ДбОстНаКонецПериода">#REF!</definedName>
    <definedName name="ДбОстНаНачалоПериода">#REF!</definedName>
    <definedName name="ддд" hidden="1">{#N/A,#N/A,FALSE,"Лист4"}</definedName>
    <definedName name="Дніпропетровська">#REF!</definedName>
    <definedName name="до_1_року">'0'!$G$3:$G$4</definedName>
    <definedName name="Донецька">#REF!,#REF!,#REF!</definedName>
    <definedName name="ДПМ">#REF!</definedName>
    <definedName name="е" localSheetId="9" hidden="1">{#N/A,#N/A,FALSE,"Лист4"}</definedName>
    <definedName name="е">#REF!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localSheetId="9" hidden="1">{#N/A,#N/A,FALSE,"Лист4"}</definedName>
    <definedName name="є">#REF!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Житомирська">#REF!</definedName>
    <definedName name="_xlnm.Print_Titles" localSheetId="0">'!!! ФІНАНСОВИЙ ПЛАН 2023 !!!'!$34:$36</definedName>
    <definedName name="Заголовки_для_печати_МИ">'[28]1993'!$A$1:$IV$3,'[28]1993'!$A$1:$A$65536</definedName>
    <definedName name="Закарпатська">#REF!,#REF!,#REF!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Зопорізька">#REF!</definedName>
    <definedName name="ип" hidden="1">{#N/A,#N/A,FALSE,"Лист4"}</definedName>
    <definedName name="ить" hidden="1">{#N/A,#N/A,FALSE,"Лист4"}</definedName>
    <definedName name="і">[29]Inform!$F$2</definedName>
    <definedName name="ів">#REF!</definedName>
    <definedName name="Ів.Франківська">#REF!</definedName>
    <definedName name="Ів.Франковська">#REF!,#REF!,#REF!</definedName>
    <definedName name="ів___0">#REF!</definedName>
    <definedName name="ів_22">#REF!</definedName>
    <definedName name="ів_26">#REF!</definedName>
    <definedName name="іваа" hidden="1">{#N/A,#N/A,FALSE,"Лист4"}</definedName>
    <definedName name="іваіа">'[30]7  Інші витрати'!#REF!</definedName>
    <definedName name="івап" hidden="1">{#N/A,#N/A,FALSE,"Лист4"}</definedName>
    <definedName name="іваф">#REF!</definedName>
    <definedName name="івів">'[11]МТР Газ України'!$B$1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іцу">[22]Inform!$G$2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гккг" hidden="1">{#N/A,#N/A,FALSE,"Лист4"}</definedName>
    <definedName name="кгкккк" hidden="1">{#N/A,#N/A,FALSE,"Лист4"}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кеуц" hidden="1">{#N/A,#N/A,FALSE,"Лист4"}</definedName>
    <definedName name="Київська">#REF!</definedName>
    <definedName name="Кировоградська">#REF!</definedName>
    <definedName name="Кіровоградська">#REF!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дВалюты">#REF!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рВалОстНаКонецПериода">#REF!</definedName>
    <definedName name="КрВалОстНаНачалоПериода">#REF!</definedName>
    <definedName name="Кримська">#REF!</definedName>
    <definedName name="КрОстНаКонецПериода">#REF!</definedName>
    <definedName name="КрОстНаНачалоПериода">#REF!</definedName>
    <definedName name="культура" hidden="1">{#N/A,#N/A,FALSE,"Лист4"}</definedName>
    <definedName name="л" localSheetId="9" hidden="1">{#N/A,#N/A,FALSE,"Лист4"}</definedName>
    <definedName name="л">#REF!</definedName>
    <definedName name="лд" hidden="1">{#N/A,#N/A,FALSE,"Лист4"}</definedName>
    <definedName name="лікарі">Доходи!$A$2:$B$2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Луганська">#REF!</definedName>
    <definedName name="Львівська">#REF!,#REF!,#REF!</definedName>
    <definedName name="мак" hidden="1">{#N/A,#N/A,FALSE,"Лист4"}</definedName>
    <definedName name="Миколаївська">#REF!</definedName>
    <definedName name="міська">#REF!</definedName>
    <definedName name="мм" hidden="1">{#N/A,#N/A,FALSE,"Лист4"}</definedName>
    <definedName name="МнемокодСчета">#REF!</definedName>
    <definedName name="мпе" hidden="1">{#N/A,#N/A,FALSE,"Лист4"}</definedName>
    <definedName name="НаименованиеСчета">#REF!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НомерСчета">#REF!</definedName>
    <definedName name="_xlnm.Print_Area" localSheetId="9">' тарифікація 01.01'!$B$1:$AB$449</definedName>
    <definedName name="_xlnm.Print_Area" localSheetId="0">'!!! ФІНАНСОВИЙ ПЛАН 2023 !!!'!$B$1:$L$159</definedName>
    <definedName name="_xlnm.Print_Area" localSheetId="4">'2210'!$B$1:$P$86</definedName>
    <definedName name="_xlnm.Print_Area" localSheetId="5">'2220'!$B$1:$J$500</definedName>
    <definedName name="_xlnm.Print_Area" localSheetId="6">'2230'!$B$1:$G$53</definedName>
    <definedName name="_xlnm.Print_Area" localSheetId="7">'2240'!$B$1:$O$32</definedName>
    <definedName name="_xlnm.Print_Area" localSheetId="1">Доходи!$B$1:$H$38</definedName>
    <definedName name="_xlnm.Print_Area" localSheetId="3">'ОЗ-ІНМА'!$A$1:$P$39</definedName>
    <definedName name="_xlnm.Print_Area" localSheetId="12">'Програма МБ 2023 рік'!$A$1:$E$25</definedName>
    <definedName name="_xlnm.Print_Area" localSheetId="10">'тарифікація на 01. 04'!$B$1:$AB$467</definedName>
    <definedName name="ОборотВалПоДебету">#REF!</definedName>
    <definedName name="ОборотВалПоКредиту">#REF!</definedName>
    <definedName name="ОборотПоДебету">#REF!</definedName>
    <definedName name="ОборотПоКредиту">#REF!</definedName>
    <definedName name="оггне" hidden="1">{#N/A,#N/A,FALSE,"Лист4"}</definedName>
    <definedName name="Одеська">#REF!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ганизация">#REF!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ериод">#REF!</definedName>
    <definedName name="План">#REF!</definedName>
    <definedName name="плеккккг" hidden="1">{#N/A,#N/A,FALSE,"Лист4"}</definedName>
    <definedName name="пллеелш" hidden="1">{#N/A,#N/A,FALSE,"Лист4"}</definedName>
    <definedName name="Полтавська">#REF!,#REF!,#REF!</definedName>
    <definedName name="попле" hidden="1">{#N/A,#N/A,FALSE,"Лист4"}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" hidden="1">{#N/A,#N/A,FALSE,"Лист4"}</definedName>
    <definedName name="пп" hidden="1">{#N/A,#N/A,FALSE,"Лист4"}</definedName>
    <definedName name="ппп">[31]Inform!$E$6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">#REF!</definedName>
    <definedName name="Рівненська">#REF!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евастопольська">#REF!</definedName>
    <definedName name="Симферопольська">#REF!,#REF!,#REF!</definedName>
    <definedName name="сімейний">Доходи!#REF!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умма">#REF!</definedName>
    <definedName name="Сумська">#REF!</definedName>
    <definedName name="счу" hidden="1">{#N/A,#N/A,FALSE,"Лист4"}</definedName>
    <definedName name="счя" hidden="1">{#N/A,#N/A,FALSE,"Лист4"}</definedName>
    <definedName name="т">[32]Inform!$E$6</definedName>
    <definedName name="тариф">[33]Inform!$G$2</definedName>
    <definedName name="Тернопільська">#REF!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йцукйцуйу">#REF!</definedName>
    <definedName name="уке" localSheetId="9" hidden="1">{#N/A,#N/A,FALSE,"Лист4"}</definedName>
    <definedName name="уке">[34]Inform!$G$2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ТГ">'[14]МТР Газ України'!$B$4</definedName>
    <definedName name="Утел">#REF!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ів">'[23]МТР Газ України'!$B$4</definedName>
    <definedName name="фіваіф">'[30]7  Інші витрати'!#REF!</definedName>
    <definedName name="фф" localSheetId="9" hidden="1">{#N/A,#N/A,FALSE,"Лист4"}</definedName>
    <definedName name="фф">'[26]МТР Газ України'!$F$1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арківська">#REF!</definedName>
    <definedName name="Херсонська">#REF!</definedName>
    <definedName name="Херсьнська">#REF!</definedName>
    <definedName name="хз" hidden="1">{#N/A,#N/A,FALSE,"Лист4"}</definedName>
    <definedName name="хїз" hidden="1">{#N/A,#N/A,FALSE,"Лист4"}</definedName>
    <definedName name="Хмельницька">#REF!</definedName>
    <definedName name="ххх" hidden="1">{#N/A,#N/A,FALSE,"Лист4"}</definedName>
    <definedName name="ц" localSheetId="9" hidden="1">{#N/A,#N/A,FALSE,"Лист4"}</definedName>
    <definedName name="ц">'[12]7  Інші витрати'!#REF!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ММТТС">#REF!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еркаська">#REF!,#REF!,#REF!</definedName>
    <definedName name="Чернівецька">#REF!</definedName>
    <definedName name="Чернігівська">#REF!</definedName>
    <definedName name="чч" hidden="1">{#N/A,#N/A,FALSE,"Лист4"}</definedName>
    <definedName name="ччч" localSheetId="9" hidden="1">{#N/A,#N/A,FALSE,"Лист4"}</definedName>
    <definedName name="ччч">'[35]БАЗА  '!#REF!</definedName>
    <definedName name="ш">#REF!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14210" fullCalcOnLoad="1" refMode="R1C1"/>
</workbook>
</file>

<file path=xl/calcChain.xml><?xml version="1.0" encoding="utf-8"?>
<calcChain xmlns="http://schemas.openxmlformats.org/spreadsheetml/2006/main">
  <c r="C4" i="42"/>
  <c r="C7"/>
  <c r="D4"/>
  <c r="D5"/>
  <c r="D7"/>
  <c r="E4"/>
  <c r="E5"/>
  <c r="E7"/>
  <c r="O7"/>
  <c r="C8"/>
  <c r="C11"/>
  <c r="C12"/>
  <c r="D8"/>
  <c r="D9"/>
  <c r="D11"/>
  <c r="D12"/>
  <c r="E8"/>
  <c r="E9"/>
  <c r="E11"/>
  <c r="E12"/>
  <c r="O12"/>
  <c r="C13"/>
  <c r="C16"/>
  <c r="D13"/>
  <c r="D14"/>
  <c r="D16"/>
  <c r="E13"/>
  <c r="E14"/>
  <c r="E16"/>
  <c r="O16"/>
  <c r="C17"/>
  <c r="D17"/>
  <c r="E17"/>
  <c r="O17"/>
  <c r="D18"/>
  <c r="E18"/>
  <c r="O18"/>
  <c r="O20"/>
  <c r="C21"/>
  <c r="C24"/>
  <c r="D21"/>
  <c r="D24"/>
  <c r="E21"/>
  <c r="E24"/>
  <c r="O24"/>
  <c r="C25"/>
  <c r="C26"/>
  <c r="C27"/>
  <c r="C29"/>
  <c r="D25"/>
  <c r="D29"/>
  <c r="E25"/>
  <c r="E29"/>
  <c r="O29"/>
  <c r="O30"/>
  <c r="C36"/>
  <c r="D36"/>
  <c r="E36"/>
  <c r="O36"/>
  <c r="O40"/>
  <c r="H52" i="8"/>
  <c r="C20" i="42"/>
  <c r="C30"/>
  <c r="C31"/>
  <c r="D20"/>
  <c r="D30"/>
  <c r="D31"/>
  <c r="E20"/>
  <c r="E30"/>
  <c r="E31"/>
  <c r="O31"/>
  <c r="O37"/>
  <c r="H56" i="8"/>
  <c r="H53"/>
  <c r="H70"/>
  <c r="C16" i="43"/>
  <c r="H71" i="8"/>
  <c r="B20" i="43"/>
  <c r="C20"/>
  <c r="H77" i="8"/>
  <c r="U4" i="42"/>
  <c r="AB4"/>
  <c r="AA4"/>
  <c r="AD4"/>
  <c r="AD5"/>
  <c r="W4"/>
  <c r="Y4"/>
  <c r="AE4"/>
  <c r="AE5"/>
  <c r="D32" i="4"/>
  <c r="C22" i="43"/>
  <c r="C18"/>
  <c r="H78" i="8"/>
  <c r="H76"/>
  <c r="H79"/>
  <c r="H135"/>
  <c r="H139"/>
  <c r="H55"/>
  <c r="D86" i="37"/>
  <c r="E86"/>
  <c r="F86"/>
  <c r="C17" i="43"/>
  <c r="H57" i="8"/>
  <c r="H58"/>
  <c r="H59"/>
  <c r="C9" i="43"/>
  <c r="H60" i="8"/>
  <c r="H61"/>
  <c r="H65"/>
  <c r="H67"/>
  <c r="H62"/>
  <c r="C29" i="43"/>
  <c r="H92" i="8"/>
  <c r="C30" i="43"/>
  <c r="H93" i="8"/>
  <c r="C31" i="43"/>
  <c r="H94" i="8"/>
  <c r="H95"/>
  <c r="H96"/>
  <c r="C34" i="43"/>
  <c r="H97" i="8"/>
  <c r="H91"/>
  <c r="H72"/>
  <c r="H81"/>
  <c r="H39"/>
  <c r="D27" i="4"/>
  <c r="H41" i="8"/>
  <c r="H42"/>
  <c r="H43"/>
  <c r="H40"/>
  <c r="H45"/>
  <c r="H46"/>
  <c r="H47"/>
  <c r="H44"/>
  <c r="H50"/>
  <c r="H49"/>
  <c r="H48"/>
  <c r="H80"/>
  <c r="F6" i="4"/>
  <c r="D6"/>
  <c r="D27" i="42"/>
  <c r="F5" i="4"/>
  <c r="G5"/>
  <c r="D10" i="26"/>
  <c r="E10"/>
  <c r="D11"/>
  <c r="E11"/>
  <c r="D12"/>
  <c r="E12"/>
  <c r="D9"/>
  <c r="E9"/>
  <c r="G6" i="4"/>
  <c r="E6"/>
  <c r="C27" i="8"/>
  <c r="H18" i="4"/>
  <c r="E17"/>
  <c r="F17"/>
  <c r="G17"/>
  <c r="H10"/>
  <c r="J2" i="40"/>
  <c r="K5"/>
  <c r="L5"/>
  <c r="D5"/>
  <c r="E5"/>
  <c r="B17"/>
  <c r="G4" i="4"/>
  <c r="H17"/>
  <c r="F18" i="39"/>
  <c r="F18" i="42"/>
  <c r="L18"/>
  <c r="F14"/>
  <c r="L14"/>
  <c r="F9"/>
  <c r="L9"/>
  <c r="F5"/>
  <c r="L5"/>
  <c r="B36" i="43"/>
  <c r="F36"/>
  <c r="E36"/>
  <c r="D36"/>
  <c r="C10" i="38"/>
  <c r="F30" i="43"/>
  <c r="E30"/>
  <c r="D30"/>
  <c r="F4" i="39"/>
  <c r="D4"/>
  <c r="E15"/>
  <c r="P18"/>
  <c r="D12"/>
  <c r="D15"/>
  <c r="P21"/>
  <c r="E79" i="37"/>
  <c r="F79"/>
  <c r="G79"/>
  <c r="H79"/>
  <c r="I79"/>
  <c r="J79"/>
  <c r="K79"/>
  <c r="L79"/>
  <c r="M79"/>
  <c r="N79"/>
  <c r="O79"/>
  <c r="D79"/>
  <c r="N92"/>
  <c r="G50" i="35"/>
  <c r="G14" i="21"/>
  <c r="G13"/>
  <c r="G16"/>
  <c r="G21"/>
  <c r="E82" i="8"/>
  <c r="O15" i="38"/>
  <c r="O27"/>
  <c r="O24"/>
  <c r="O23"/>
  <c r="O22"/>
  <c r="O21"/>
  <c r="O20"/>
  <c r="E13" i="26"/>
  <c r="D34" i="40"/>
  <c r="I17"/>
  <c r="D29"/>
  <c r="D30"/>
  <c r="D31"/>
  <c r="D32"/>
  <c r="D33"/>
  <c r="D35"/>
  <c r="D36"/>
  <c r="D37"/>
  <c r="D38"/>
  <c r="D39"/>
  <c r="D28"/>
  <c r="D43"/>
  <c r="E12" i="43"/>
  <c r="D44" i="40"/>
  <c r="F12" i="43"/>
  <c r="D41" i="40"/>
  <c r="D40"/>
  <c r="D42"/>
  <c r="D12" i="43"/>
  <c r="B40" i="40"/>
  <c r="D45"/>
  <c r="H19" i="4"/>
  <c r="D4"/>
  <c r="N74" i="37"/>
  <c r="N5"/>
  <c r="G86"/>
  <c r="H86"/>
  <c r="I86"/>
  <c r="J86"/>
  <c r="K86"/>
  <c r="L86"/>
  <c r="M86"/>
  <c r="N86"/>
  <c r="N87"/>
  <c r="G20" i="35"/>
  <c r="AY453" i="21"/>
  <c r="Q3" i="39"/>
  <c r="F4" i="42"/>
  <c r="F7"/>
  <c r="F8"/>
  <c r="F11"/>
  <c r="F12"/>
  <c r="F13"/>
  <c r="F16"/>
  <c r="F17"/>
  <c r="F20"/>
  <c r="F21"/>
  <c r="F24"/>
  <c r="V4"/>
  <c r="F25"/>
  <c r="F26"/>
  <c r="F27"/>
  <c r="F29"/>
  <c r="F30"/>
  <c r="F31"/>
  <c r="M25"/>
  <c r="N25"/>
  <c r="G27"/>
  <c r="H27"/>
  <c r="I27"/>
  <c r="J27"/>
  <c r="K27"/>
  <c r="L27"/>
  <c r="M27"/>
  <c r="N27"/>
  <c r="N29"/>
  <c r="M29"/>
  <c r="L25"/>
  <c r="L29"/>
  <c r="G25"/>
  <c r="G26"/>
  <c r="G29"/>
  <c r="H25"/>
  <c r="H29"/>
  <c r="I25"/>
  <c r="I29"/>
  <c r="J25"/>
  <c r="J29"/>
  <c r="K25"/>
  <c r="K29"/>
  <c r="G21"/>
  <c r="H21"/>
  <c r="I21"/>
  <c r="I24"/>
  <c r="J21"/>
  <c r="J24"/>
  <c r="K21"/>
  <c r="K24"/>
  <c r="Q24"/>
  <c r="G24"/>
  <c r="H24"/>
  <c r="P24"/>
  <c r="L21"/>
  <c r="M21"/>
  <c r="N21"/>
  <c r="N24"/>
  <c r="L24"/>
  <c r="M24"/>
  <c r="R24"/>
  <c r="G17"/>
  <c r="G20"/>
  <c r="G13"/>
  <c r="G16"/>
  <c r="G8"/>
  <c r="G11"/>
  <c r="G12"/>
  <c r="G4"/>
  <c r="G7"/>
  <c r="D23" i="4"/>
  <c r="H16"/>
  <c r="G30" i="42"/>
  <c r="G31"/>
  <c r="D30" i="4"/>
  <c r="E31"/>
  <c r="F31"/>
  <c r="G31"/>
  <c r="D31"/>
  <c r="C25" i="40"/>
  <c r="E28"/>
  <c r="Z4" i="42"/>
  <c r="X4"/>
  <c r="AG4"/>
  <c r="AG5"/>
  <c r="C32"/>
  <c r="H31" i="4"/>
  <c r="C2" i="38"/>
  <c r="C32"/>
  <c r="AF4" i="42"/>
  <c r="L26"/>
  <c r="H26"/>
  <c r="I26"/>
  <c r="J26"/>
  <c r="K26"/>
  <c r="N26"/>
  <c r="M26"/>
  <c r="D26"/>
  <c r="E26"/>
  <c r="P74" i="37"/>
  <c r="O26" i="42"/>
  <c r="G73" i="8"/>
  <c r="K86"/>
  <c r="J86"/>
  <c r="I86"/>
  <c r="H86"/>
  <c r="AH106" i="41"/>
  <c r="AG107"/>
  <c r="AE107"/>
  <c r="AD30"/>
  <c r="AD29"/>
  <c r="AC452"/>
  <c r="AC451"/>
  <c r="AC450"/>
  <c r="AC448"/>
  <c r="AC447"/>
  <c r="AC446"/>
  <c r="AC445"/>
  <c r="AB251" i="21"/>
  <c r="AG251"/>
  <c r="AH257" i="41"/>
  <c r="AH256"/>
  <c r="AH254"/>
  <c r="AH255"/>
  <c r="AH253"/>
  <c r="AH246"/>
  <c r="AH251"/>
  <c r="AH252"/>
  <c r="AH245"/>
  <c r="AH247"/>
  <c r="AH248"/>
  <c r="AH249"/>
  <c r="AA251"/>
  <c r="AH240"/>
  <c r="AI251"/>
  <c r="AG251"/>
  <c r="AG252"/>
  <c r="AG253"/>
  <c r="AE251"/>
  <c r="AH142"/>
  <c r="AH117"/>
  <c r="AH109"/>
  <c r="AH105"/>
  <c r="AH104"/>
  <c r="AH98"/>
  <c r="AH99"/>
  <c r="AH97"/>
  <c r="AW411"/>
  <c r="AU411"/>
  <c r="AT411"/>
  <c r="AS411"/>
  <c r="AR411"/>
  <c r="AQ411"/>
  <c r="AP411"/>
  <c r="AO411"/>
  <c r="AN411"/>
  <c r="AM411"/>
  <c r="AL411"/>
  <c r="AK411"/>
  <c r="AJ411"/>
  <c r="AI411"/>
  <c r="AH411"/>
  <c r="AG411"/>
  <c r="AE411"/>
  <c r="AW411" i="21"/>
  <c r="AU411"/>
  <c r="AT411"/>
  <c r="AS411"/>
  <c r="AR411"/>
  <c r="AQ411"/>
  <c r="AP411"/>
  <c r="AO411"/>
  <c r="AN411"/>
  <c r="AM411"/>
  <c r="AL411"/>
  <c r="AK411"/>
  <c r="AJ411"/>
  <c r="AI411"/>
  <c r="AH411"/>
  <c r="AG411"/>
  <c r="AG410"/>
  <c r="AF410"/>
  <c r="AE411"/>
  <c r="AW281" i="41"/>
  <c r="AD281"/>
  <c r="S281"/>
  <c r="W281"/>
  <c r="AA281"/>
  <c r="AB281"/>
  <c r="AW328" i="21"/>
  <c r="AW325"/>
  <c r="AD100" i="41"/>
  <c r="AC100"/>
  <c r="AG278"/>
  <c r="AH278"/>
  <c r="AA278"/>
  <c r="AI281"/>
  <c r="AH281"/>
  <c r="AG281"/>
  <c r="AF281"/>
  <c r="AE281"/>
  <c r="AC281"/>
  <c r="AQ281"/>
  <c r="AV281"/>
  <c r="AR281"/>
  <c r="AN278"/>
  <c r="AO278"/>
  <c r="AP278"/>
  <c r="AQ278"/>
  <c r="AR278"/>
  <c r="AS278"/>
  <c r="AT278"/>
  <c r="AU278"/>
  <c r="AW278"/>
  <c r="AM278"/>
  <c r="AL278"/>
  <c r="AK278"/>
  <c r="AJ278"/>
  <c r="AI278"/>
  <c r="AB278"/>
  <c r="AE278"/>
  <c r="AF278"/>
  <c r="AC278"/>
  <c r="AD278"/>
  <c r="W278"/>
  <c r="R278"/>
  <c r="AI53"/>
  <c r="AG53"/>
  <c r="AQ100"/>
  <c r="AR100"/>
  <c r="AJ100"/>
  <c r="AI100"/>
  <c r="AG100"/>
  <c r="AE100"/>
  <c r="AW100" i="21"/>
  <c r="B327"/>
  <c r="AY100"/>
  <c r="AE278"/>
  <c r="AF278"/>
  <c r="AW281"/>
  <c r="AY278"/>
  <c r="AY277"/>
  <c r="AW278"/>
  <c r="AP278"/>
  <c r="AO278"/>
  <c r="AJ278"/>
  <c r="AI278"/>
  <c r="AG278"/>
  <c r="AH278"/>
  <c r="AA278"/>
  <c r="AG277"/>
  <c r="R278"/>
  <c r="AL278"/>
  <c r="AG100"/>
  <c r="AE100"/>
  <c r="G10" i="38"/>
  <c r="O11"/>
  <c r="AU278" i="21"/>
  <c r="AN278"/>
  <c r="AB278"/>
  <c r="AC278"/>
  <c r="AD278"/>
  <c r="AQ278"/>
  <c r="AK278"/>
  <c r="W278"/>
  <c r="O86" i="37"/>
  <c r="F17" i="43"/>
  <c r="K57" i="8"/>
  <c r="E17" i="43"/>
  <c r="J57" i="8"/>
  <c r="D17" i="43"/>
  <c r="I57" i="8"/>
  <c r="AS278" i="21"/>
  <c r="AR278"/>
  <c r="AM278"/>
  <c r="AT278"/>
  <c r="B17" i="43"/>
  <c r="O31" i="38"/>
  <c r="G27"/>
  <c r="C15"/>
  <c r="D74" i="37"/>
  <c r="C36" i="43"/>
  <c r="D24"/>
  <c r="E24"/>
  <c r="F24"/>
  <c r="D27"/>
  <c r="E27"/>
  <c r="F27"/>
  <c r="P36" i="39"/>
  <c r="P39"/>
  <c r="P23"/>
  <c r="P24"/>
  <c r="P25"/>
  <c r="P26"/>
  <c r="P27"/>
  <c r="P28"/>
  <c r="P29"/>
  <c r="P30"/>
  <c r="P31"/>
  <c r="P32"/>
  <c r="P33"/>
  <c r="P34"/>
  <c r="P35"/>
  <c r="P37"/>
  <c r="P38"/>
  <c r="P22"/>
  <c r="P10"/>
  <c r="P13"/>
  <c r="P14"/>
  <c r="P16"/>
  <c r="P17"/>
  <c r="F15"/>
  <c r="G15"/>
  <c r="H15"/>
  <c r="I15"/>
  <c r="J15"/>
  <c r="K15"/>
  <c r="L15"/>
  <c r="M15"/>
  <c r="N15"/>
  <c r="O15"/>
  <c r="E12"/>
  <c r="F12"/>
  <c r="G12"/>
  <c r="P12"/>
  <c r="H12"/>
  <c r="I12"/>
  <c r="J12"/>
  <c r="K12"/>
  <c r="L12"/>
  <c r="M12"/>
  <c r="N12"/>
  <c r="O12"/>
  <c r="D21"/>
  <c r="O4"/>
  <c r="E4"/>
  <c r="G4"/>
  <c r="H4"/>
  <c r="I4"/>
  <c r="J4"/>
  <c r="K4"/>
  <c r="L4"/>
  <c r="M4"/>
  <c r="N4"/>
  <c r="I21"/>
  <c r="J21"/>
  <c r="K21"/>
  <c r="L21"/>
  <c r="M21"/>
  <c r="N21"/>
  <c r="O21"/>
  <c r="E21"/>
  <c r="F21"/>
  <c r="G21"/>
  <c r="H21"/>
  <c r="P19"/>
  <c r="B14" i="43"/>
  <c r="B25"/>
  <c r="B26"/>
  <c r="P15" i="39"/>
  <c r="B30" i="43"/>
  <c r="E29"/>
  <c r="J92" i="8"/>
  <c r="F29" i="43"/>
  <c r="K92" i="8"/>
  <c r="D29" i="43"/>
  <c r="I92" i="8"/>
  <c r="F31" i="43"/>
  <c r="D31"/>
  <c r="E31"/>
  <c r="D3" i="37"/>
  <c r="K96" i="8"/>
  <c r="J96"/>
  <c r="I96"/>
  <c r="K95"/>
  <c r="J95"/>
  <c r="I95"/>
  <c r="G96"/>
  <c r="B31" i="43"/>
  <c r="G95" i="8"/>
  <c r="E5" i="37"/>
  <c r="B35" i="43"/>
  <c r="F34"/>
  <c r="E34"/>
  <c r="D34"/>
  <c r="B34"/>
  <c r="K94" i="8"/>
  <c r="I93"/>
  <c r="J93"/>
  <c r="K93"/>
  <c r="H74"/>
  <c r="I97"/>
  <c r="J97"/>
  <c r="K97"/>
  <c r="I99"/>
  <c r="H99"/>
  <c r="I88"/>
  <c r="J88"/>
  <c r="K88"/>
  <c r="H88"/>
  <c r="I79"/>
  <c r="J79"/>
  <c r="K79"/>
  <c r="K70"/>
  <c r="I70"/>
  <c r="K61"/>
  <c r="J61"/>
  <c r="I61"/>
  <c r="C7" i="43"/>
  <c r="D7"/>
  <c r="D20"/>
  <c r="I77" i="8"/>
  <c r="B33" i="43"/>
  <c r="B32"/>
  <c r="J94" i="8"/>
  <c r="I94"/>
  <c r="H75"/>
  <c r="B29" i="43"/>
  <c r="B28"/>
  <c r="C27"/>
  <c r="B27"/>
  <c r="C24"/>
  <c r="B24"/>
  <c r="C23"/>
  <c r="B19"/>
  <c r="C15"/>
  <c r="D15"/>
  <c r="E15"/>
  <c r="F15"/>
  <c r="B10"/>
  <c r="G93" i="8"/>
  <c r="B23" i="43"/>
  <c r="F20"/>
  <c r="K77" i="8"/>
  <c r="E20" i="43"/>
  <c r="J77" i="8"/>
  <c r="J70"/>
  <c r="G70"/>
  <c r="E7" i="43"/>
  <c r="B15"/>
  <c r="G77" i="8"/>
  <c r="K99"/>
  <c r="J99"/>
  <c r="F7" i="43"/>
  <c r="B7"/>
  <c r="Q28" i="42"/>
  <c r="P28"/>
  <c r="O28"/>
  <c r="O19"/>
  <c r="O15"/>
  <c r="P26"/>
  <c r="R26"/>
  <c r="Q23"/>
  <c r="P23"/>
  <c r="O23"/>
  <c r="C22"/>
  <c r="D22"/>
  <c r="Q19"/>
  <c r="P19"/>
  <c r="Q15"/>
  <c r="P15"/>
  <c r="O10"/>
  <c r="Q10"/>
  <c r="P10"/>
  <c r="Q6"/>
  <c r="P6"/>
  <c r="O6"/>
  <c r="AX412" i="41"/>
  <c r="AX407"/>
  <c r="AX406"/>
  <c r="AX401"/>
  <c r="AX396"/>
  <c r="AX395"/>
  <c r="AX392"/>
  <c r="AX382"/>
  <c r="AX378"/>
  <c r="AX377"/>
  <c r="AX367"/>
  <c r="AX366"/>
  <c r="AX363"/>
  <c r="AX355"/>
  <c r="AX349"/>
  <c r="AX348"/>
  <c r="AX344"/>
  <c r="AX343"/>
  <c r="AX336"/>
  <c r="AX328"/>
  <c r="AX321"/>
  <c r="AX320"/>
  <c r="AX313"/>
  <c r="AX299"/>
  <c r="AX287"/>
  <c r="AX281"/>
  <c r="AX273"/>
  <c r="AX267"/>
  <c r="AX258"/>
  <c r="AX288"/>
  <c r="AX242"/>
  <c r="AX241"/>
  <c r="AX237"/>
  <c r="AX229"/>
  <c r="AX224"/>
  <c r="AX223"/>
  <c r="AX216"/>
  <c r="AX207"/>
  <c r="AX202"/>
  <c r="AX201"/>
  <c r="AX194"/>
  <c r="AX185"/>
  <c r="AX180"/>
  <c r="AX179"/>
  <c r="AX172"/>
  <c r="AX164"/>
  <c r="AX160"/>
  <c r="AX159"/>
  <c r="AX152"/>
  <c r="AX140"/>
  <c r="AX127"/>
  <c r="AX126"/>
  <c r="AX113"/>
  <c r="AX32"/>
  <c r="AX19"/>
  <c r="BA62" i="21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57"/>
  <c r="BA58"/>
  <c r="BA59"/>
  <c r="BA60"/>
  <c r="BA54"/>
  <c r="BA56"/>
  <c r="BA50"/>
  <c r="BA51"/>
  <c r="BA52"/>
  <c r="BA53"/>
  <c r="BA49"/>
  <c r="BA30"/>
  <c r="BA31"/>
  <c r="AY60"/>
  <c r="AY68"/>
  <c r="AY75"/>
  <c r="AC396" i="41"/>
  <c r="AC406"/>
  <c r="AC407"/>
  <c r="P81" i="37"/>
  <c r="Q26" i="42"/>
  <c r="S26"/>
  <c r="E22"/>
  <c r="F22"/>
  <c r="O22"/>
  <c r="G22"/>
  <c r="H22"/>
  <c r="I22"/>
  <c r="P22"/>
  <c r="J22"/>
  <c r="K22"/>
  <c r="L22"/>
  <c r="G99" i="8"/>
  <c r="Q22" i="42"/>
  <c r="M22"/>
  <c r="N22"/>
  <c r="I2" i="38"/>
  <c r="G57" i="8"/>
  <c r="D5" i="37"/>
  <c r="D87"/>
  <c r="R22" i="42"/>
  <c r="S22"/>
  <c r="E134" i="8"/>
  <c r="I58"/>
  <c r="J58"/>
  <c r="K58"/>
  <c r="J497" i="36"/>
  <c r="T500"/>
  <c r="J491"/>
  <c r="J500"/>
  <c r="J495"/>
  <c r="J183"/>
  <c r="J133"/>
  <c r="J116"/>
  <c r="J5"/>
  <c r="A25" i="42"/>
  <c r="G133" i="8"/>
  <c r="H133"/>
  <c r="I133"/>
  <c r="J133"/>
  <c r="K133"/>
  <c r="A21" i="42"/>
  <c r="G131" i="8"/>
  <c r="H131"/>
  <c r="A17" i="42"/>
  <c r="G130" i="8"/>
  <c r="A13" i="42"/>
  <c r="G129" i="8"/>
  <c r="H129"/>
  <c r="I129"/>
  <c r="J129"/>
  <c r="K129"/>
  <c r="A8" i="42"/>
  <c r="G132" i="8"/>
  <c r="H132"/>
  <c r="I132"/>
  <c r="J132"/>
  <c r="K132"/>
  <c r="AF5" i="42"/>
  <c r="A4"/>
  <c r="B452" i="41"/>
  <c r="AX451"/>
  <c r="B451"/>
  <c r="AX450"/>
  <c r="B450"/>
  <c r="B449"/>
  <c r="AV448"/>
  <c r="T448"/>
  <c r="S448"/>
  <c r="AX447"/>
  <c r="AV447"/>
  <c r="T447"/>
  <c r="S447"/>
  <c r="AX446"/>
  <c r="AX449"/>
  <c r="AX453"/>
  <c r="AV446"/>
  <c r="T446"/>
  <c r="S446"/>
  <c r="B446"/>
  <c r="AX445"/>
  <c r="AV445"/>
  <c r="T445"/>
  <c r="S445"/>
  <c r="B445"/>
  <c r="A445"/>
  <c r="C443"/>
  <c r="C442"/>
  <c r="C441"/>
  <c r="C440"/>
  <c r="C439"/>
  <c r="C438"/>
  <c r="C437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AV412"/>
  <c r="T412"/>
  <c r="S412"/>
  <c r="S434"/>
  <c r="N412"/>
  <c r="I412"/>
  <c r="G412"/>
  <c r="AR412"/>
  <c r="R411"/>
  <c r="AW410"/>
  <c r="AT410"/>
  <c r="AS410"/>
  <c r="AR410"/>
  <c r="AP410"/>
  <c r="AL410"/>
  <c r="AJ410"/>
  <c r="AI410"/>
  <c r="AG410"/>
  <c r="AE410"/>
  <c r="Z410"/>
  <c r="AO410"/>
  <c r="R410"/>
  <c r="AK410"/>
  <c r="AM410"/>
  <c r="AW409"/>
  <c r="AS409"/>
  <c r="AS412"/>
  <c r="AR409"/>
  <c r="AK409"/>
  <c r="AJ409"/>
  <c r="AJ412"/>
  <c r="AJ443"/>
  <c r="AI409"/>
  <c r="AG409"/>
  <c r="AE409"/>
  <c r="R409"/>
  <c r="AU408"/>
  <c r="AS408"/>
  <c r="AR408"/>
  <c r="AQ408"/>
  <c r="AP408"/>
  <c r="AO408"/>
  <c r="AL408"/>
  <c r="AK408"/>
  <c r="AJ408"/>
  <c r="AN408"/>
  <c r="AI408"/>
  <c r="AV407"/>
  <c r="AJ407"/>
  <c r="AV406"/>
  <c r="AR406"/>
  <c r="T406"/>
  <c r="S406"/>
  <c r="S407"/>
  <c r="G406"/>
  <c r="AS405"/>
  <c r="AR405"/>
  <c r="AO405"/>
  <c r="AK405"/>
  <c r="AM405"/>
  <c r="AJ405"/>
  <c r="AI405"/>
  <c r="AG405"/>
  <c r="AH405"/>
  <c r="AA405"/>
  <c r="AQ405"/>
  <c r="AE405"/>
  <c r="Z405"/>
  <c r="AP405"/>
  <c r="R405"/>
  <c r="AL405"/>
  <c r="AS404"/>
  <c r="AR404"/>
  <c r="AQ404"/>
  <c r="AJ404"/>
  <c r="AI404"/>
  <c r="AG404"/>
  <c r="AE404"/>
  <c r="R404"/>
  <c r="AW403"/>
  <c r="AS403"/>
  <c r="AR403"/>
  <c r="AJ403"/>
  <c r="AJ406"/>
  <c r="AI403"/>
  <c r="AI406"/>
  <c r="AG403"/>
  <c r="AE403"/>
  <c r="R403"/>
  <c r="AV401"/>
  <c r="AQ401"/>
  <c r="AI401"/>
  <c r="AE401"/>
  <c r="AA401"/>
  <c r="T401"/>
  <c r="T407"/>
  <c r="S401"/>
  <c r="G401"/>
  <c r="G407"/>
  <c r="AS400"/>
  <c r="AR400"/>
  <c r="AQ400"/>
  <c r="AJ400"/>
  <c r="AI400"/>
  <c r="AG400"/>
  <c r="AE400"/>
  <c r="R400"/>
  <c r="AW399"/>
  <c r="AS399"/>
  <c r="AS401"/>
  <c r="AR399"/>
  <c r="AR401"/>
  <c r="AQ399"/>
  <c r="AO399"/>
  <c r="AK399"/>
  <c r="AJ399"/>
  <c r="AJ401"/>
  <c r="AI399"/>
  <c r="AG399"/>
  <c r="AE399"/>
  <c r="AB399"/>
  <c r="AF399"/>
  <c r="Z399"/>
  <c r="AP399"/>
  <c r="R399"/>
  <c r="AL399"/>
  <c r="AV395"/>
  <c r="AR395"/>
  <c r="AO395"/>
  <c r="AJ395"/>
  <c r="AG395"/>
  <c r="AB395"/>
  <c r="T395"/>
  <c r="S395"/>
  <c r="R395"/>
  <c r="G395"/>
  <c r="AW394"/>
  <c r="AW395"/>
  <c r="AU394"/>
  <c r="AU395"/>
  <c r="AR394"/>
  <c r="AQ394"/>
  <c r="AQ395"/>
  <c r="AP394"/>
  <c r="AP395"/>
  <c r="AO394"/>
  <c r="AM394"/>
  <c r="AM395"/>
  <c r="AL394"/>
  <c r="AL395"/>
  <c r="AJ394"/>
  <c r="AN394"/>
  <c r="AN395"/>
  <c r="AI394"/>
  <c r="AI395"/>
  <c r="AH394"/>
  <c r="AH395"/>
  <c r="AG394"/>
  <c r="AB394"/>
  <c r="AA394"/>
  <c r="AA395"/>
  <c r="W394"/>
  <c r="W395"/>
  <c r="W396"/>
  <c r="R394"/>
  <c r="AK394"/>
  <c r="AT394"/>
  <c r="AT395"/>
  <c r="AV392"/>
  <c r="AS392"/>
  <c r="T392"/>
  <c r="S392"/>
  <c r="P392"/>
  <c r="P396"/>
  <c r="G392"/>
  <c r="AS391"/>
  <c r="AR391"/>
  <c r="AJ391"/>
  <c r="AI391"/>
  <c r="AG391"/>
  <c r="AE391"/>
  <c r="R391"/>
  <c r="AS390"/>
  <c r="AR390"/>
  <c r="AM390"/>
  <c r="AL390"/>
  <c r="AJ390"/>
  <c r="AI390"/>
  <c r="AG390"/>
  <c r="AE390"/>
  <c r="Z390"/>
  <c r="R390"/>
  <c r="AK390"/>
  <c r="AT390"/>
  <c r="AW389"/>
  <c r="AU389"/>
  <c r="AS389"/>
  <c r="AR389"/>
  <c r="AN389"/>
  <c r="AL389"/>
  <c r="AJ389"/>
  <c r="AI389"/>
  <c r="AM389"/>
  <c r="AG389"/>
  <c r="AE389"/>
  <c r="Z389"/>
  <c r="AP389"/>
  <c r="R389"/>
  <c r="AK389"/>
  <c r="AT389"/>
  <c r="AW388"/>
  <c r="AS388"/>
  <c r="AR388"/>
  <c r="AJ388"/>
  <c r="AI388"/>
  <c r="AG388"/>
  <c r="AE388"/>
  <c r="R388"/>
  <c r="P388"/>
  <c r="AS387"/>
  <c r="AR387"/>
  <c r="AQ387"/>
  <c r="AP387"/>
  <c r="AJ387"/>
  <c r="AI387"/>
  <c r="AG387"/>
  <c r="AE387"/>
  <c r="Z387"/>
  <c r="AO387"/>
  <c r="R387"/>
  <c r="P387"/>
  <c r="AW386"/>
  <c r="AU386"/>
  <c r="AS386"/>
  <c r="AR386"/>
  <c r="AQ386"/>
  <c r="AJ386"/>
  <c r="AN386"/>
  <c r="AI386"/>
  <c r="AG386"/>
  <c r="AE386"/>
  <c r="AB386"/>
  <c r="Z386"/>
  <c r="R386"/>
  <c r="AL386"/>
  <c r="P386"/>
  <c r="AS385"/>
  <c r="AR385"/>
  <c r="AR392"/>
  <c r="AJ385"/>
  <c r="AI385"/>
  <c r="AG385"/>
  <c r="AE385"/>
  <c r="P385"/>
  <c r="R385"/>
  <c r="AS384"/>
  <c r="AR384"/>
  <c r="AQ384"/>
  <c r="AJ384"/>
  <c r="AI384"/>
  <c r="AG384"/>
  <c r="AE384"/>
  <c r="R384"/>
  <c r="P384"/>
  <c r="AV382"/>
  <c r="AS382"/>
  <c r="AR382"/>
  <c r="AR396"/>
  <c r="AR432"/>
  <c r="AJ382"/>
  <c r="AI382"/>
  <c r="AG382"/>
  <c r="AE382"/>
  <c r="AA382"/>
  <c r="T382"/>
  <c r="S382"/>
  <c r="I382"/>
  <c r="I396"/>
  <c r="G382"/>
  <c r="G396"/>
  <c r="AS381"/>
  <c r="AR381"/>
  <c r="AQ381"/>
  <c r="AQ382"/>
  <c r="AJ381"/>
  <c r="AI381"/>
  <c r="AG381"/>
  <c r="AE381"/>
  <c r="R381"/>
  <c r="AK381"/>
  <c r="P381"/>
  <c r="P382"/>
  <c r="I381"/>
  <c r="AV378"/>
  <c r="AV431"/>
  <c r="T378"/>
  <c r="T431"/>
  <c r="Q378"/>
  <c r="AV377"/>
  <c r="AG377"/>
  <c r="AG378"/>
  <c r="AG431"/>
  <c r="T377"/>
  <c r="S377"/>
  <c r="P377"/>
  <c r="G377"/>
  <c r="AS376"/>
  <c r="AR376"/>
  <c r="AQ376"/>
  <c r="AK376"/>
  <c r="AJ376"/>
  <c r="AI376"/>
  <c r="AG376"/>
  <c r="AE376"/>
  <c r="Z376"/>
  <c r="R376"/>
  <c r="P376"/>
  <c r="AU375"/>
  <c r="AT375"/>
  <c r="AS375"/>
  <c r="AR375"/>
  <c r="AQ375"/>
  <c r="AP375"/>
  <c r="AL375"/>
  <c r="AN375"/>
  <c r="AJ375"/>
  <c r="AI375"/>
  <c r="AI377"/>
  <c r="AG375"/>
  <c r="AE375"/>
  <c r="AB375"/>
  <c r="Z375"/>
  <c r="AO375"/>
  <c r="R375"/>
  <c r="AK375"/>
  <c r="AM375"/>
  <c r="P375"/>
  <c r="AW374"/>
  <c r="AS374"/>
  <c r="AR374"/>
  <c r="AQ374"/>
  <c r="AM374"/>
  <c r="AK374"/>
  <c r="AT374"/>
  <c r="AJ374"/>
  <c r="AI374"/>
  <c r="AG374"/>
  <c r="AE374"/>
  <c r="AB374"/>
  <c r="Z374"/>
  <c r="P374"/>
  <c r="R374"/>
  <c r="AL374"/>
  <c r="AU374"/>
  <c r="AS373"/>
  <c r="AS377"/>
  <c r="AR373"/>
  <c r="AK373"/>
  <c r="AM373"/>
  <c r="AJ373"/>
  <c r="AJ377"/>
  <c r="AI373"/>
  <c r="AG373"/>
  <c r="AE373"/>
  <c r="P373"/>
  <c r="R373"/>
  <c r="AV371"/>
  <c r="AS371"/>
  <c r="AR371"/>
  <c r="AG371"/>
  <c r="AA371"/>
  <c r="T371"/>
  <c r="S371"/>
  <c r="S378"/>
  <c r="S431"/>
  <c r="G371"/>
  <c r="G378"/>
  <c r="AS370"/>
  <c r="AR370"/>
  <c r="AQ370"/>
  <c r="AQ371"/>
  <c r="AJ370"/>
  <c r="AJ371"/>
  <c r="AJ378"/>
  <c r="AJ431"/>
  <c r="AI370"/>
  <c r="AI371"/>
  <c r="AI378"/>
  <c r="AI431"/>
  <c r="AG370"/>
  <c r="AE370"/>
  <c r="P370"/>
  <c r="S367"/>
  <c r="G367"/>
  <c r="AV366"/>
  <c r="AH366"/>
  <c r="AG366"/>
  <c r="Z366"/>
  <c r="T366"/>
  <c r="S366"/>
  <c r="G366"/>
  <c r="AW365"/>
  <c r="AW366"/>
  <c r="AP365"/>
  <c r="AP366"/>
  <c r="AO365"/>
  <c r="AO366"/>
  <c r="AK365"/>
  <c r="AJ365"/>
  <c r="AJ366"/>
  <c r="AI365"/>
  <c r="AI366"/>
  <c r="AG365"/>
  <c r="AH365"/>
  <c r="AA365"/>
  <c r="AB365"/>
  <c r="W365"/>
  <c r="R365"/>
  <c r="R366"/>
  <c r="AV363"/>
  <c r="AJ363"/>
  <c r="T363"/>
  <c r="S363"/>
  <c r="R363"/>
  <c r="G363"/>
  <c r="AT362"/>
  <c r="AS362"/>
  <c r="AR362"/>
  <c r="AQ362"/>
  <c r="AP362"/>
  <c r="AL362"/>
  <c r="AJ362"/>
  <c r="AI362"/>
  <c r="AG362"/>
  <c r="AE362"/>
  <c r="Z362"/>
  <c r="R362"/>
  <c r="AK362"/>
  <c r="AM362"/>
  <c r="P362"/>
  <c r="AW361"/>
  <c r="AS361"/>
  <c r="AR361"/>
  <c r="AQ361"/>
  <c r="AM361"/>
  <c r="AK361"/>
  <c r="AT361"/>
  <c r="AJ361"/>
  <c r="AI361"/>
  <c r="AG361"/>
  <c r="AE361"/>
  <c r="Z361"/>
  <c r="P361"/>
  <c r="R361"/>
  <c r="AL361"/>
  <c r="AU361"/>
  <c r="AS360"/>
  <c r="AR360"/>
  <c r="AQ360"/>
  <c r="AJ360"/>
  <c r="AI360"/>
  <c r="AG360"/>
  <c r="AE360"/>
  <c r="P360"/>
  <c r="R360"/>
  <c r="AK360"/>
  <c r="AS359"/>
  <c r="AR359"/>
  <c r="AO359"/>
  <c r="AJ359"/>
  <c r="AI359"/>
  <c r="AG359"/>
  <c r="AE359"/>
  <c r="Z359"/>
  <c r="AP359"/>
  <c r="R359"/>
  <c r="P359"/>
  <c r="AS358"/>
  <c r="AR358"/>
  <c r="AR363"/>
  <c r="AK358"/>
  <c r="AJ358"/>
  <c r="AI358"/>
  <c r="AG358"/>
  <c r="AE358"/>
  <c r="R358"/>
  <c r="P358"/>
  <c r="AS357"/>
  <c r="AS363"/>
  <c r="AR357"/>
  <c r="AQ357"/>
  <c r="AL357"/>
  <c r="AJ357"/>
  <c r="AI357"/>
  <c r="AG357"/>
  <c r="AE357"/>
  <c r="Z357"/>
  <c r="AO357"/>
  <c r="R357"/>
  <c r="P357"/>
  <c r="AV355"/>
  <c r="AQ355"/>
  <c r="AJ355"/>
  <c r="AE355"/>
  <c r="AA355"/>
  <c r="T355"/>
  <c r="S355"/>
  <c r="I355"/>
  <c r="I367"/>
  <c r="G355"/>
  <c r="AS354"/>
  <c r="AR354"/>
  <c r="AR355"/>
  <c r="AQ354"/>
  <c r="AJ354"/>
  <c r="AI354"/>
  <c r="AG354"/>
  <c r="AE354"/>
  <c r="R354"/>
  <c r="P354"/>
  <c r="AS353"/>
  <c r="AR353"/>
  <c r="AQ353"/>
  <c r="AJ353"/>
  <c r="AI353"/>
  <c r="AI355"/>
  <c r="AG353"/>
  <c r="AE353"/>
  <c r="P353"/>
  <c r="I353"/>
  <c r="AV348"/>
  <c r="AV429"/>
  <c r="AR348"/>
  <c r="AR429"/>
  <c r="AN348"/>
  <c r="AN429"/>
  <c r="AL348"/>
  <c r="AL429"/>
  <c r="AJ348"/>
  <c r="AJ429"/>
  <c r="AI348"/>
  <c r="AI429"/>
  <c r="T348"/>
  <c r="T429"/>
  <c r="S348"/>
  <c r="S429"/>
  <c r="R348"/>
  <c r="G348"/>
  <c r="AU347"/>
  <c r="AU348"/>
  <c r="AU429"/>
  <c r="AS347"/>
  <c r="AS348"/>
  <c r="AS429"/>
  <c r="AR347"/>
  <c r="AL347"/>
  <c r="AN347"/>
  <c r="AK347"/>
  <c r="AJ347"/>
  <c r="AI347"/>
  <c r="AG347"/>
  <c r="AE347"/>
  <c r="Z347"/>
  <c r="R347"/>
  <c r="T344"/>
  <c r="AV343"/>
  <c r="AG343"/>
  <c r="T343"/>
  <c r="S343"/>
  <c r="G343"/>
  <c r="AP342"/>
  <c r="AO342"/>
  <c r="AJ342"/>
  <c r="AI342"/>
  <c r="AG342"/>
  <c r="R342"/>
  <c r="AP341"/>
  <c r="AO341"/>
  <c r="AO343"/>
  <c r="AJ341"/>
  <c r="AI341"/>
  <c r="AG341"/>
  <c r="R341"/>
  <c r="AW340"/>
  <c r="AT340"/>
  <c r="AP340"/>
  <c r="AO340"/>
  <c r="AL340"/>
  <c r="AU340"/>
  <c r="AJ340"/>
  <c r="AN340"/>
  <c r="AI340"/>
  <c r="AH340"/>
  <c r="AG340"/>
  <c r="AA340"/>
  <c r="AQ340"/>
  <c r="W340"/>
  <c r="R340"/>
  <c r="AK340"/>
  <c r="AM340"/>
  <c r="AW339"/>
  <c r="AP339"/>
  <c r="AO339"/>
  <c r="AM339"/>
  <c r="AK339"/>
  <c r="AT339"/>
  <c r="AJ339"/>
  <c r="AI339"/>
  <c r="AG339"/>
  <c r="AH339"/>
  <c r="AA339"/>
  <c r="AQ339"/>
  <c r="R339"/>
  <c r="AW338"/>
  <c r="AT338"/>
  <c r="AP338"/>
  <c r="AP343"/>
  <c r="AO338"/>
  <c r="AK338"/>
  <c r="AJ338"/>
  <c r="AI338"/>
  <c r="AG338"/>
  <c r="AH338"/>
  <c r="AA338"/>
  <c r="AB338"/>
  <c r="W338"/>
  <c r="R338"/>
  <c r="AL338"/>
  <c r="AV336"/>
  <c r="AE336"/>
  <c r="T336"/>
  <c r="S336"/>
  <c r="I336"/>
  <c r="I344"/>
  <c r="I349"/>
  <c r="G336"/>
  <c r="AW335"/>
  <c r="AT335"/>
  <c r="AS335"/>
  <c r="AR335"/>
  <c r="AP335"/>
  <c r="AL335"/>
  <c r="AJ335"/>
  <c r="AI335"/>
  <c r="AG335"/>
  <c r="AE335"/>
  <c r="Z335"/>
  <c r="AO335"/>
  <c r="R335"/>
  <c r="AK335"/>
  <c r="AM335"/>
  <c r="AW334"/>
  <c r="AS334"/>
  <c r="AR334"/>
  <c r="AK334"/>
  <c r="AT334"/>
  <c r="AJ334"/>
  <c r="AI334"/>
  <c r="AG334"/>
  <c r="AE334"/>
  <c r="R334"/>
  <c r="AW333"/>
  <c r="AS333"/>
  <c r="AR333"/>
  <c r="AP333"/>
  <c r="AO333"/>
  <c r="AK333"/>
  <c r="AJ333"/>
  <c r="AI333"/>
  <c r="AG333"/>
  <c r="AH333"/>
  <c r="AA333"/>
  <c r="AQ333"/>
  <c r="AF333"/>
  <c r="AC333"/>
  <c r="AE333"/>
  <c r="AB333"/>
  <c r="Z333"/>
  <c r="R333"/>
  <c r="AL333"/>
  <c r="AS332"/>
  <c r="AR332"/>
  <c r="AL332"/>
  <c r="AJ332"/>
  <c r="AI332"/>
  <c r="AG332"/>
  <c r="AE332"/>
  <c r="R332"/>
  <c r="AW331"/>
  <c r="AS331"/>
  <c r="AR331"/>
  <c r="AN331"/>
  <c r="AM331"/>
  <c r="AL331"/>
  <c r="AU331"/>
  <c r="AJ331"/>
  <c r="AI331"/>
  <c r="AG331"/>
  <c r="AE331"/>
  <c r="Z331"/>
  <c r="R331"/>
  <c r="AK331"/>
  <c r="AT331"/>
  <c r="AS330"/>
  <c r="AS336"/>
  <c r="AR330"/>
  <c r="AR336"/>
  <c r="AJ330"/>
  <c r="AJ336"/>
  <c r="AI330"/>
  <c r="AG330"/>
  <c r="AE330"/>
  <c r="R330"/>
  <c r="I330"/>
  <c r="AV328"/>
  <c r="AV344"/>
  <c r="AV428"/>
  <c r="T328"/>
  <c r="S328"/>
  <c r="S344"/>
  <c r="G328"/>
  <c r="G344"/>
  <c r="G349"/>
  <c r="AS327"/>
  <c r="AR327"/>
  <c r="AL327"/>
  <c r="AJ327"/>
  <c r="AI327"/>
  <c r="AG327"/>
  <c r="AE327"/>
  <c r="R327"/>
  <c r="AS326"/>
  <c r="AR326"/>
  <c r="AJ326"/>
  <c r="AI326"/>
  <c r="AG326"/>
  <c r="AE326"/>
  <c r="R326"/>
  <c r="AK326"/>
  <c r="AT326"/>
  <c r="AS325"/>
  <c r="AS328"/>
  <c r="AR325"/>
  <c r="AJ325"/>
  <c r="AJ328"/>
  <c r="AI325"/>
  <c r="AG325"/>
  <c r="AE325"/>
  <c r="R325"/>
  <c r="AU324"/>
  <c r="AS324"/>
  <c r="AR324"/>
  <c r="AQ324"/>
  <c r="AP324"/>
  <c r="AO324"/>
  <c r="AL324"/>
  <c r="AK324"/>
  <c r="AT324"/>
  <c r="AJ324"/>
  <c r="AN324"/>
  <c r="AI324"/>
  <c r="AM324"/>
  <c r="AS323"/>
  <c r="AR323"/>
  <c r="AQ323"/>
  <c r="AP323"/>
  <c r="AO323"/>
  <c r="AN323"/>
  <c r="AL323"/>
  <c r="AU323"/>
  <c r="AK323"/>
  <c r="AM323"/>
  <c r="AJ323"/>
  <c r="AI323"/>
  <c r="AU322"/>
  <c r="AT322"/>
  <c r="AV320"/>
  <c r="T320"/>
  <c r="S320"/>
  <c r="G320"/>
  <c r="AP319"/>
  <c r="AO319"/>
  <c r="AJ319"/>
  <c r="AI319"/>
  <c r="AG319"/>
  <c r="R319"/>
  <c r="P319"/>
  <c r="AP318"/>
  <c r="AO318"/>
  <c r="AK318"/>
  <c r="AM318"/>
  <c r="AJ318"/>
  <c r="AI318"/>
  <c r="AG318"/>
  <c r="AH318"/>
  <c r="AA318"/>
  <c r="AQ318"/>
  <c r="W318"/>
  <c r="R318"/>
  <c r="AL318"/>
  <c r="P318"/>
  <c r="AP317"/>
  <c r="AO317"/>
  <c r="AJ317"/>
  <c r="AI317"/>
  <c r="AG317"/>
  <c r="P317"/>
  <c r="R317"/>
  <c r="AP316"/>
  <c r="AO316"/>
  <c r="AJ316"/>
  <c r="AI316"/>
  <c r="AI320"/>
  <c r="AG316"/>
  <c r="R316"/>
  <c r="AL316"/>
  <c r="P316"/>
  <c r="AP315"/>
  <c r="AO315"/>
  <c r="AK315"/>
  <c r="AJ315"/>
  <c r="AJ320"/>
  <c r="AI315"/>
  <c r="AG315"/>
  <c r="R315"/>
  <c r="P315"/>
  <c r="AV313"/>
  <c r="T313"/>
  <c r="S313"/>
  <c r="G313"/>
  <c r="AU312"/>
  <c r="AT312"/>
  <c r="AS312"/>
  <c r="AR312"/>
  <c r="AQ312"/>
  <c r="AP312"/>
  <c r="AL312"/>
  <c r="AN312"/>
  <c r="AJ312"/>
  <c r="AI312"/>
  <c r="AG312"/>
  <c r="AE312"/>
  <c r="AB312"/>
  <c r="Z312"/>
  <c r="AO312"/>
  <c r="R312"/>
  <c r="AK312"/>
  <c r="AM312"/>
  <c r="P312"/>
  <c r="AW311"/>
  <c r="AS311"/>
  <c r="AR311"/>
  <c r="AM311"/>
  <c r="AK311"/>
  <c r="AT311"/>
  <c r="AJ311"/>
  <c r="AI311"/>
  <c r="AG311"/>
  <c r="AE311"/>
  <c r="R311"/>
  <c r="P311"/>
  <c r="AS310"/>
  <c r="AR310"/>
  <c r="AQ310"/>
  <c r="AJ310"/>
  <c r="AI310"/>
  <c r="AG310"/>
  <c r="AE310"/>
  <c r="R310"/>
  <c r="P310"/>
  <c r="AS309"/>
  <c r="AR309"/>
  <c r="AQ309"/>
  <c r="AP309"/>
  <c r="AJ309"/>
  <c r="AI309"/>
  <c r="AG309"/>
  <c r="AE309"/>
  <c r="Z309"/>
  <c r="AO309"/>
  <c r="R309"/>
  <c r="P309"/>
  <c r="AW308"/>
  <c r="AU308"/>
  <c r="AS308"/>
  <c r="AR308"/>
  <c r="AQ308"/>
  <c r="AJ308"/>
  <c r="AN308"/>
  <c r="AI308"/>
  <c r="AG308"/>
  <c r="AE308"/>
  <c r="AF308"/>
  <c r="AC308"/>
  <c r="AB308"/>
  <c r="Z308"/>
  <c r="R308"/>
  <c r="AL308"/>
  <c r="P308"/>
  <c r="AS307"/>
  <c r="AR307"/>
  <c r="AJ307"/>
  <c r="AI307"/>
  <c r="AG307"/>
  <c r="AE307"/>
  <c r="P307"/>
  <c r="R307"/>
  <c r="AS306"/>
  <c r="AR306"/>
  <c r="AQ306"/>
  <c r="AJ306"/>
  <c r="AI306"/>
  <c r="AG306"/>
  <c r="AE306"/>
  <c r="R306"/>
  <c r="P306"/>
  <c r="AW305"/>
  <c r="AS305"/>
  <c r="AR305"/>
  <c r="AQ305"/>
  <c r="AJ305"/>
  <c r="AI305"/>
  <c r="AG305"/>
  <c r="AF305"/>
  <c r="AC305"/>
  <c r="AE305"/>
  <c r="AB305"/>
  <c r="Z305"/>
  <c r="R305"/>
  <c r="AL305"/>
  <c r="P305"/>
  <c r="AS304"/>
  <c r="AR304"/>
  <c r="AQ304"/>
  <c r="AK304"/>
  <c r="AJ304"/>
  <c r="AI304"/>
  <c r="AG304"/>
  <c r="AE304"/>
  <c r="P304"/>
  <c r="R304"/>
  <c r="AS303"/>
  <c r="AR303"/>
  <c r="AQ303"/>
  <c r="AL303"/>
  <c r="AJ303"/>
  <c r="AI303"/>
  <c r="AG303"/>
  <c r="AE303"/>
  <c r="R303"/>
  <c r="P303"/>
  <c r="AS302"/>
  <c r="AR302"/>
  <c r="AQ302"/>
  <c r="AP302"/>
  <c r="AJ302"/>
  <c r="AI302"/>
  <c r="AG302"/>
  <c r="AE302"/>
  <c r="Z302"/>
  <c r="AO302"/>
  <c r="R302"/>
  <c r="P302"/>
  <c r="AS301"/>
  <c r="AR301"/>
  <c r="AQ301"/>
  <c r="AJ301"/>
  <c r="AJ313"/>
  <c r="AI301"/>
  <c r="AG301"/>
  <c r="AE301"/>
  <c r="I301"/>
  <c r="AV299"/>
  <c r="AI299"/>
  <c r="T299"/>
  <c r="T321"/>
  <c r="T427"/>
  <c r="S299"/>
  <c r="G299"/>
  <c r="G321"/>
  <c r="AS298"/>
  <c r="AR298"/>
  <c r="AP298"/>
  <c r="AL298"/>
  <c r="AN298"/>
  <c r="AJ298"/>
  <c r="AI298"/>
  <c r="AM298"/>
  <c r="AH298"/>
  <c r="AG298"/>
  <c r="AE298"/>
  <c r="AA298"/>
  <c r="AQ298"/>
  <c r="Z298"/>
  <c r="AO298"/>
  <c r="R298"/>
  <c r="AK298"/>
  <c r="AT298"/>
  <c r="P298"/>
  <c r="AS297"/>
  <c r="AR297"/>
  <c r="AQ297"/>
  <c r="AK297"/>
  <c r="AJ297"/>
  <c r="AI297"/>
  <c r="AG297"/>
  <c r="AE297"/>
  <c r="P297"/>
  <c r="R297"/>
  <c r="AG296"/>
  <c r="AE296"/>
  <c r="P296"/>
  <c r="R296"/>
  <c r="AS295"/>
  <c r="AR295"/>
  <c r="AL295"/>
  <c r="AN295"/>
  <c r="AJ295"/>
  <c r="AI295"/>
  <c r="AG295"/>
  <c r="AE295"/>
  <c r="Z295"/>
  <c r="R295"/>
  <c r="AK295"/>
  <c r="P295"/>
  <c r="AW294"/>
  <c r="AS294"/>
  <c r="AR294"/>
  <c r="AQ294"/>
  <c r="AJ294"/>
  <c r="AI294"/>
  <c r="AG294"/>
  <c r="AE294"/>
  <c r="P294"/>
  <c r="R294"/>
  <c r="AS293"/>
  <c r="AR293"/>
  <c r="AQ293"/>
  <c r="AJ293"/>
  <c r="AI293"/>
  <c r="AG293"/>
  <c r="AE293"/>
  <c r="P293"/>
  <c r="R293"/>
  <c r="AS292"/>
  <c r="AR292"/>
  <c r="AQ292"/>
  <c r="AL292"/>
  <c r="AN292"/>
  <c r="AJ292"/>
  <c r="AI292"/>
  <c r="AG292"/>
  <c r="AG299"/>
  <c r="AE292"/>
  <c r="R292"/>
  <c r="P292"/>
  <c r="AS291"/>
  <c r="AR291"/>
  <c r="AQ291"/>
  <c r="AJ291"/>
  <c r="AI291"/>
  <c r="AG291"/>
  <c r="AE291"/>
  <c r="P291"/>
  <c r="K291"/>
  <c r="I291"/>
  <c r="Y288"/>
  <c r="X288"/>
  <c r="V288"/>
  <c r="U288"/>
  <c r="AV287"/>
  <c r="AP287"/>
  <c r="T287"/>
  <c r="S287"/>
  <c r="G287"/>
  <c r="AP286"/>
  <c r="AO286"/>
  <c r="AL286"/>
  <c r="AJ286"/>
  <c r="AI286"/>
  <c r="AH286"/>
  <c r="AA286"/>
  <c r="AQ286"/>
  <c r="AG286"/>
  <c r="W286"/>
  <c r="R286"/>
  <c r="AT285"/>
  <c r="AQ285"/>
  <c r="AP285"/>
  <c r="AO285"/>
  <c r="AM285"/>
  <c r="AL285"/>
  <c r="AJ285"/>
  <c r="AI285"/>
  <c r="AH285"/>
  <c r="AG285"/>
  <c r="AA285"/>
  <c r="W285"/>
  <c r="R285"/>
  <c r="AK285"/>
  <c r="AW284"/>
  <c r="AU284"/>
  <c r="AR284"/>
  <c r="AQ284"/>
  <c r="AP284"/>
  <c r="AO284"/>
  <c r="AN284"/>
  <c r="AL284"/>
  <c r="AJ284"/>
  <c r="AI284"/>
  <c r="AI287"/>
  <c r="AH284"/>
  <c r="AG284"/>
  <c r="AF284"/>
  <c r="AC284"/>
  <c r="AE284"/>
  <c r="AB284"/>
  <c r="AA284"/>
  <c r="W284"/>
  <c r="AS284"/>
  <c r="R284"/>
  <c r="AK284"/>
  <c r="AP283"/>
  <c r="AO283"/>
  <c r="AJ283"/>
  <c r="AI283"/>
  <c r="AG283"/>
  <c r="R283"/>
  <c r="T281"/>
  <c r="S288"/>
  <c r="S426"/>
  <c r="G281"/>
  <c r="AP280"/>
  <c r="AO280"/>
  <c r="AK280"/>
  <c r="AJ280"/>
  <c r="AI280"/>
  <c r="AG280"/>
  <c r="R280"/>
  <c r="AU279"/>
  <c r="AP279"/>
  <c r="AO279"/>
  <c r="AL279"/>
  <c r="AJ279"/>
  <c r="AI279"/>
  <c r="AG279"/>
  <c r="AH279"/>
  <c r="AA279"/>
  <c r="AQ279"/>
  <c r="W279"/>
  <c r="R279"/>
  <c r="AK279"/>
  <c r="AW277"/>
  <c r="AU277"/>
  <c r="AR277"/>
  <c r="AP277"/>
  <c r="AO277"/>
  <c r="AL277"/>
  <c r="AJ277"/>
  <c r="AN277"/>
  <c r="AI277"/>
  <c r="AM277"/>
  <c r="AH277"/>
  <c r="AA277"/>
  <c r="AG277"/>
  <c r="W277"/>
  <c r="AS277"/>
  <c r="R277"/>
  <c r="AK277"/>
  <c r="AT277"/>
  <c r="AW276"/>
  <c r="AP276"/>
  <c r="AO276"/>
  <c r="AJ276"/>
  <c r="AI276"/>
  <c r="AG276"/>
  <c r="R276"/>
  <c r="AK276"/>
  <c r="AP275"/>
  <c r="AO275"/>
  <c r="AJ275"/>
  <c r="AI275"/>
  <c r="AG275"/>
  <c r="R275"/>
  <c r="AV273"/>
  <c r="AR273"/>
  <c r="AJ273"/>
  <c r="T273"/>
  <c r="S273"/>
  <c r="R273"/>
  <c r="G273"/>
  <c r="AS272"/>
  <c r="AR272"/>
  <c r="AM272"/>
  <c r="AL272"/>
  <c r="AJ272"/>
  <c r="AI272"/>
  <c r="AG272"/>
  <c r="AH272"/>
  <c r="AA272"/>
  <c r="AQ272"/>
  <c r="AE272"/>
  <c r="Z272"/>
  <c r="R272"/>
  <c r="AK272"/>
  <c r="AT272"/>
  <c r="AW271"/>
  <c r="AU271"/>
  <c r="AS271"/>
  <c r="AR271"/>
  <c r="AN271"/>
  <c r="AL271"/>
  <c r="AJ271"/>
  <c r="AI271"/>
  <c r="AG271"/>
  <c r="AE271"/>
  <c r="AE273"/>
  <c r="Z271"/>
  <c r="AP271"/>
  <c r="R271"/>
  <c r="AK271"/>
  <c r="AT271"/>
  <c r="AW270"/>
  <c r="AS270"/>
  <c r="AR270"/>
  <c r="AJ270"/>
  <c r="AI270"/>
  <c r="AG270"/>
  <c r="AE270"/>
  <c r="R270"/>
  <c r="AT269"/>
  <c r="AS269"/>
  <c r="AS273"/>
  <c r="AR269"/>
  <c r="AO269"/>
  <c r="AL269"/>
  <c r="AK269"/>
  <c r="AJ269"/>
  <c r="AI269"/>
  <c r="AH269"/>
  <c r="AG269"/>
  <c r="AE269"/>
  <c r="Z269"/>
  <c r="AP269"/>
  <c r="R269"/>
  <c r="AV267"/>
  <c r="T267"/>
  <c r="S267"/>
  <c r="I267"/>
  <c r="G267"/>
  <c r="AW266"/>
  <c r="AT266"/>
  <c r="AS266"/>
  <c r="AR266"/>
  <c r="AL266"/>
  <c r="AJ266"/>
  <c r="AI266"/>
  <c r="AG266"/>
  <c r="AE266"/>
  <c r="R266"/>
  <c r="AK266"/>
  <c r="AM266"/>
  <c r="AS265"/>
  <c r="AR265"/>
  <c r="AK265"/>
  <c r="AJ265"/>
  <c r="AI265"/>
  <c r="AG265"/>
  <c r="AE265"/>
  <c r="R265"/>
  <c r="AW265"/>
  <c r="AS264"/>
  <c r="AR264"/>
  <c r="AJ264"/>
  <c r="AI264"/>
  <c r="AG264"/>
  <c r="AE264"/>
  <c r="R264"/>
  <c r="AS263"/>
  <c r="AR263"/>
  <c r="AJ263"/>
  <c r="AI263"/>
  <c r="AG263"/>
  <c r="AE263"/>
  <c r="R263"/>
  <c r="AL263"/>
  <c r="AS262"/>
  <c r="AR262"/>
  <c r="AJ262"/>
  <c r="AI262"/>
  <c r="AE262"/>
  <c r="S262"/>
  <c r="AG262"/>
  <c r="R262"/>
  <c r="AS261"/>
  <c r="AR261"/>
  <c r="AJ261"/>
  <c r="AI261"/>
  <c r="AG261"/>
  <c r="AE261"/>
  <c r="R261"/>
  <c r="AS260"/>
  <c r="AR260"/>
  <c r="AP260"/>
  <c r="AL260"/>
  <c r="AU260"/>
  <c r="AK260"/>
  <c r="AJ260"/>
  <c r="AI260"/>
  <c r="AG260"/>
  <c r="AE260"/>
  <c r="Z260"/>
  <c r="AO260"/>
  <c r="R260"/>
  <c r="I260"/>
  <c r="AV258"/>
  <c r="T258"/>
  <c r="T288"/>
  <c r="T426"/>
  <c r="S258"/>
  <c r="G258"/>
  <c r="AS257"/>
  <c r="AR257"/>
  <c r="AQ257"/>
  <c r="AJ257"/>
  <c r="AI257"/>
  <c r="AG257"/>
  <c r="AE257"/>
  <c r="K257"/>
  <c r="R257"/>
  <c r="AS256"/>
  <c r="AR256"/>
  <c r="AQ256"/>
  <c r="AJ256"/>
  <c r="AI256"/>
  <c r="AG256"/>
  <c r="AE256"/>
  <c r="Z256"/>
  <c r="R256"/>
  <c r="K256"/>
  <c r="AS255"/>
  <c r="AR255"/>
  <c r="AQ255"/>
  <c r="AJ255"/>
  <c r="AI255"/>
  <c r="AG255"/>
  <c r="AE255"/>
  <c r="K255"/>
  <c r="R255"/>
  <c r="AS254"/>
  <c r="AR254"/>
  <c r="AQ254"/>
  <c r="AJ254"/>
  <c r="AI254"/>
  <c r="AG254"/>
  <c r="AE254"/>
  <c r="R254"/>
  <c r="K254"/>
  <c r="AS253"/>
  <c r="AR253"/>
  <c r="AQ253"/>
  <c r="AJ253"/>
  <c r="AI253"/>
  <c r="AE253"/>
  <c r="K253"/>
  <c r="R253"/>
  <c r="AS252"/>
  <c r="AR252"/>
  <c r="AQ252"/>
  <c r="AJ252"/>
  <c r="AI252"/>
  <c r="AE252"/>
  <c r="K252"/>
  <c r="R252"/>
  <c r="AS251"/>
  <c r="AR251"/>
  <c r="AJ251"/>
  <c r="K251"/>
  <c r="R251"/>
  <c r="Z251"/>
  <c r="AS250"/>
  <c r="AR250"/>
  <c r="AQ250"/>
  <c r="AJ250"/>
  <c r="AI250"/>
  <c r="AG250"/>
  <c r="AE250"/>
  <c r="K250"/>
  <c r="R250"/>
  <c r="AS249"/>
  <c r="AR249"/>
  <c r="AQ249"/>
  <c r="AJ249"/>
  <c r="AI249"/>
  <c r="AG249"/>
  <c r="AE249"/>
  <c r="K249"/>
  <c r="R249"/>
  <c r="AS248"/>
  <c r="AR248"/>
  <c r="AQ248"/>
  <c r="AJ248"/>
  <c r="AI248"/>
  <c r="AG248"/>
  <c r="AE248"/>
  <c r="K248"/>
  <c r="R248"/>
  <c r="AL248"/>
  <c r="AS247"/>
  <c r="AR247"/>
  <c r="AQ247"/>
  <c r="AJ247"/>
  <c r="AI247"/>
  <c r="AG247"/>
  <c r="AE247"/>
  <c r="K247"/>
  <c r="R247"/>
  <c r="AL247"/>
  <c r="AS246"/>
  <c r="AR246"/>
  <c r="AQ246"/>
  <c r="AJ246"/>
  <c r="AI246"/>
  <c r="AG246"/>
  <c r="AE246"/>
  <c r="Z246"/>
  <c r="R246"/>
  <c r="K246"/>
  <c r="AS245"/>
  <c r="AR245"/>
  <c r="AQ245"/>
  <c r="AJ245"/>
  <c r="AI245"/>
  <c r="AG245"/>
  <c r="AE245"/>
  <c r="I245"/>
  <c r="AV241"/>
  <c r="AP241"/>
  <c r="T241"/>
  <c r="S241"/>
  <c r="G241"/>
  <c r="AW240"/>
  <c r="AP240"/>
  <c r="AO240"/>
  <c r="AK240"/>
  <c r="AJ240"/>
  <c r="AI240"/>
  <c r="AG240"/>
  <c r="R240"/>
  <c r="AP239"/>
  <c r="AO239"/>
  <c r="AK239"/>
  <c r="AJ239"/>
  <c r="AI239"/>
  <c r="AI241"/>
  <c r="AG239"/>
  <c r="R239"/>
  <c r="AV237"/>
  <c r="T237"/>
  <c r="S237"/>
  <c r="G237"/>
  <c r="AS236"/>
  <c r="AR236"/>
  <c r="AJ236"/>
  <c r="AI236"/>
  <c r="AG236"/>
  <c r="AE236"/>
  <c r="R236"/>
  <c r="AS235"/>
  <c r="AR235"/>
  <c r="AK235"/>
  <c r="AJ235"/>
  <c r="AI235"/>
  <c r="AG235"/>
  <c r="AE235"/>
  <c r="R235"/>
  <c r="AS234"/>
  <c r="AR234"/>
  <c r="AL234"/>
  <c r="AK234"/>
  <c r="AM234"/>
  <c r="AJ234"/>
  <c r="AI234"/>
  <c r="AG234"/>
  <c r="AE234"/>
  <c r="R234"/>
  <c r="Z234"/>
  <c r="AP234"/>
  <c r="AS233"/>
  <c r="AR233"/>
  <c r="AJ233"/>
  <c r="AI233"/>
  <c r="AG233"/>
  <c r="AE233"/>
  <c r="R233"/>
  <c r="AS232"/>
  <c r="AR232"/>
  <c r="AJ232"/>
  <c r="AI232"/>
  <c r="AE232"/>
  <c r="S232"/>
  <c r="AG232"/>
  <c r="R232"/>
  <c r="AS231"/>
  <c r="AS237"/>
  <c r="AR231"/>
  <c r="AL231"/>
  <c r="AJ231"/>
  <c r="AI231"/>
  <c r="AI237"/>
  <c r="AI242"/>
  <c r="AI425"/>
  <c r="AG231"/>
  <c r="AE231"/>
  <c r="R231"/>
  <c r="I231"/>
  <c r="I237"/>
  <c r="AV229"/>
  <c r="AV242"/>
  <c r="AV425"/>
  <c r="AA229"/>
  <c r="T229"/>
  <c r="T242"/>
  <c r="T425"/>
  <c r="S229"/>
  <c r="R229"/>
  <c r="I229"/>
  <c r="I242"/>
  <c r="G229"/>
  <c r="G242"/>
  <c r="AW228"/>
  <c r="AS228"/>
  <c r="AR228"/>
  <c r="AQ228"/>
  <c r="AO228"/>
  <c r="AO229"/>
  <c r="AK228"/>
  <c r="AK229"/>
  <c r="AJ228"/>
  <c r="AI228"/>
  <c r="AG228"/>
  <c r="AF228"/>
  <c r="AE228"/>
  <c r="AC228"/>
  <c r="AB228"/>
  <c r="Z228"/>
  <c r="AP228"/>
  <c r="R228"/>
  <c r="AL228"/>
  <c r="AU228"/>
  <c r="AS227"/>
  <c r="AS229"/>
  <c r="AR227"/>
  <c r="AQ227"/>
  <c r="AO227"/>
  <c r="AK227"/>
  <c r="AJ227"/>
  <c r="AJ229"/>
  <c r="AI227"/>
  <c r="AI229"/>
  <c r="AG227"/>
  <c r="AH227"/>
  <c r="AE227"/>
  <c r="AE229"/>
  <c r="AB227"/>
  <c r="Z227"/>
  <c r="Z229"/>
  <c r="R227"/>
  <c r="AL227"/>
  <c r="AT226"/>
  <c r="AS226"/>
  <c r="AR226"/>
  <c r="AQ226"/>
  <c r="AP226"/>
  <c r="AO226"/>
  <c r="AL226"/>
  <c r="AN226"/>
  <c r="AK226"/>
  <c r="AJ226"/>
  <c r="AI226"/>
  <c r="AM226"/>
  <c r="AS225"/>
  <c r="AR225"/>
  <c r="AQ225"/>
  <c r="AP225"/>
  <c r="AO225"/>
  <c r="AL225"/>
  <c r="AU225"/>
  <c r="AK225"/>
  <c r="AT225"/>
  <c r="AJ225"/>
  <c r="AI225"/>
  <c r="AM225"/>
  <c r="AV223"/>
  <c r="AO223"/>
  <c r="T223"/>
  <c r="S223"/>
  <c r="G223"/>
  <c r="AW222"/>
  <c r="AU222"/>
  <c r="AR222"/>
  <c r="AP222"/>
  <c r="AO222"/>
  <c r="AM222"/>
  <c r="AL222"/>
  <c r="AJ222"/>
  <c r="AN222"/>
  <c r="AI222"/>
  <c r="AH222"/>
  <c r="AA222"/>
  <c r="AG222"/>
  <c r="W222"/>
  <c r="AS222"/>
  <c r="R222"/>
  <c r="AK222"/>
  <c r="AT222"/>
  <c r="AP221"/>
  <c r="AO221"/>
  <c r="AJ221"/>
  <c r="AI221"/>
  <c r="AG221"/>
  <c r="R221"/>
  <c r="AP220"/>
  <c r="AO220"/>
  <c r="AL220"/>
  <c r="AJ220"/>
  <c r="AI220"/>
  <c r="AG220"/>
  <c r="AH220"/>
  <c r="AA220"/>
  <c r="AQ220"/>
  <c r="W220"/>
  <c r="R220"/>
  <c r="AP219"/>
  <c r="AO219"/>
  <c r="AL219"/>
  <c r="AN219"/>
  <c r="AJ219"/>
  <c r="AI219"/>
  <c r="AH219"/>
  <c r="AA219"/>
  <c r="AQ219"/>
  <c r="AG219"/>
  <c r="AG223"/>
  <c r="W219"/>
  <c r="R219"/>
  <c r="AW218"/>
  <c r="AU218"/>
  <c r="AR218"/>
  <c r="AP218"/>
  <c r="AP223"/>
  <c r="AO218"/>
  <c r="AL218"/>
  <c r="AJ218"/>
  <c r="AI218"/>
  <c r="AI223"/>
  <c r="AH218"/>
  <c r="AG218"/>
  <c r="AA218"/>
  <c r="W218"/>
  <c r="R218"/>
  <c r="AK218"/>
  <c r="AV216"/>
  <c r="T216"/>
  <c r="S216"/>
  <c r="S224"/>
  <c r="S424"/>
  <c r="G216"/>
  <c r="AS215"/>
  <c r="AR215"/>
  <c r="AL215"/>
  <c r="AJ215"/>
  <c r="AI215"/>
  <c r="AG215"/>
  <c r="AE215"/>
  <c r="R215"/>
  <c r="AS214"/>
  <c r="AR214"/>
  <c r="AJ214"/>
  <c r="AI214"/>
  <c r="AG214"/>
  <c r="AE214"/>
  <c r="R214"/>
  <c r="AW213"/>
  <c r="AS213"/>
  <c r="AR213"/>
  <c r="AL213"/>
  <c r="AU213"/>
  <c r="AJ213"/>
  <c r="AI213"/>
  <c r="AG213"/>
  <c r="AE213"/>
  <c r="R213"/>
  <c r="AK213"/>
  <c r="AS212"/>
  <c r="AR212"/>
  <c r="AK212"/>
  <c r="AJ212"/>
  <c r="AI212"/>
  <c r="AG212"/>
  <c r="AE212"/>
  <c r="R212"/>
  <c r="AW212"/>
  <c r="AS211"/>
  <c r="AR211"/>
  <c r="AL211"/>
  <c r="AJ211"/>
  <c r="AI211"/>
  <c r="AG211"/>
  <c r="AE211"/>
  <c r="R211"/>
  <c r="AS210"/>
  <c r="AR210"/>
  <c r="AK210"/>
  <c r="AT210"/>
  <c r="AJ210"/>
  <c r="AI210"/>
  <c r="AG210"/>
  <c r="AE210"/>
  <c r="Z210"/>
  <c r="R210"/>
  <c r="AL210"/>
  <c r="AS209"/>
  <c r="AR209"/>
  <c r="AJ209"/>
  <c r="AJ216"/>
  <c r="AI209"/>
  <c r="AG209"/>
  <c r="AE209"/>
  <c r="I209"/>
  <c r="AV207"/>
  <c r="AV224"/>
  <c r="AV424"/>
  <c r="AE207"/>
  <c r="AA207"/>
  <c r="T207"/>
  <c r="S207"/>
  <c r="I207"/>
  <c r="G207"/>
  <c r="AS206"/>
  <c r="AR206"/>
  <c r="AQ206"/>
  <c r="AJ206"/>
  <c r="AI206"/>
  <c r="AG206"/>
  <c r="AE206"/>
  <c r="R206"/>
  <c r="AS205"/>
  <c r="AS207"/>
  <c r="AR205"/>
  <c r="AR207"/>
  <c r="AQ205"/>
  <c r="AQ207"/>
  <c r="AL205"/>
  <c r="AJ205"/>
  <c r="AJ207"/>
  <c r="AI205"/>
  <c r="AI207"/>
  <c r="AG205"/>
  <c r="AG207"/>
  <c r="AE205"/>
  <c r="R205"/>
  <c r="I205"/>
  <c r="AS204"/>
  <c r="AR204"/>
  <c r="AQ204"/>
  <c r="AP204"/>
  <c r="AO204"/>
  <c r="AL204"/>
  <c r="AK204"/>
  <c r="AJ204"/>
  <c r="AI204"/>
  <c r="AS203"/>
  <c r="AR203"/>
  <c r="AQ203"/>
  <c r="AP203"/>
  <c r="AO203"/>
  <c r="AN203"/>
  <c r="AL203"/>
  <c r="AK203"/>
  <c r="AJ203"/>
  <c r="AI203"/>
  <c r="AM203"/>
  <c r="AV201"/>
  <c r="T201"/>
  <c r="S201"/>
  <c r="G201"/>
  <c r="AW200"/>
  <c r="AP200"/>
  <c r="AO200"/>
  <c r="AL200"/>
  <c r="AU200"/>
  <c r="AJ200"/>
  <c r="AI200"/>
  <c r="AG200"/>
  <c r="AH200"/>
  <c r="AA200"/>
  <c r="AQ200"/>
  <c r="W200"/>
  <c r="AS200"/>
  <c r="R200"/>
  <c r="AK200"/>
  <c r="AT200"/>
  <c r="AW199"/>
  <c r="AP199"/>
  <c r="AO199"/>
  <c r="AO201"/>
  <c r="AJ199"/>
  <c r="AI199"/>
  <c r="AG199"/>
  <c r="AH199"/>
  <c r="AA199"/>
  <c r="AQ199"/>
  <c r="R199"/>
  <c r="AW198"/>
  <c r="AP198"/>
  <c r="AO198"/>
  <c r="AK198"/>
  <c r="AJ198"/>
  <c r="AI198"/>
  <c r="AG198"/>
  <c r="AH198"/>
  <c r="AA198"/>
  <c r="AQ198"/>
  <c r="R198"/>
  <c r="W198"/>
  <c r="AP197"/>
  <c r="AO197"/>
  <c r="AK197"/>
  <c r="AJ197"/>
  <c r="AI197"/>
  <c r="AG197"/>
  <c r="R197"/>
  <c r="AL197"/>
  <c r="AN197"/>
  <c r="AW196"/>
  <c r="AU196"/>
  <c r="AP196"/>
  <c r="AO196"/>
  <c r="AL196"/>
  <c r="AJ196"/>
  <c r="AJ201"/>
  <c r="AI196"/>
  <c r="AI201"/>
  <c r="AH196"/>
  <c r="AG196"/>
  <c r="W196"/>
  <c r="R196"/>
  <c r="AK196"/>
  <c r="AV194"/>
  <c r="T194"/>
  <c r="S194"/>
  <c r="S202"/>
  <c r="S423"/>
  <c r="G194"/>
  <c r="AS193"/>
  <c r="AR193"/>
  <c r="AJ193"/>
  <c r="AI193"/>
  <c r="AG193"/>
  <c r="AE193"/>
  <c r="R193"/>
  <c r="Z193"/>
  <c r="AP193"/>
  <c r="AS192"/>
  <c r="AR192"/>
  <c r="AJ192"/>
  <c r="AI192"/>
  <c r="AG192"/>
  <c r="AE192"/>
  <c r="R192"/>
  <c r="AL192"/>
  <c r="AN192"/>
  <c r="AS191"/>
  <c r="AR191"/>
  <c r="AJ191"/>
  <c r="AI191"/>
  <c r="AG191"/>
  <c r="AE191"/>
  <c r="Z191"/>
  <c r="AO191"/>
  <c r="R191"/>
  <c r="AK191"/>
  <c r="AT191"/>
  <c r="AS190"/>
  <c r="AR190"/>
  <c r="AJ190"/>
  <c r="AI190"/>
  <c r="AG190"/>
  <c r="AE190"/>
  <c r="R190"/>
  <c r="AK190"/>
  <c r="AT190"/>
  <c r="AS189"/>
  <c r="AR189"/>
  <c r="AJ189"/>
  <c r="AI189"/>
  <c r="AG189"/>
  <c r="AE189"/>
  <c r="R189"/>
  <c r="AL189"/>
  <c r="AS188"/>
  <c r="AS194"/>
  <c r="AR188"/>
  <c r="AK188"/>
  <c r="AM188"/>
  <c r="AJ188"/>
  <c r="AI188"/>
  <c r="AG188"/>
  <c r="AE188"/>
  <c r="Z188"/>
  <c r="AO188"/>
  <c r="R188"/>
  <c r="AL188"/>
  <c r="AN188"/>
  <c r="AS187"/>
  <c r="AR187"/>
  <c r="AJ187"/>
  <c r="AI187"/>
  <c r="AG187"/>
  <c r="AE187"/>
  <c r="I187"/>
  <c r="R187"/>
  <c r="AL187"/>
  <c r="AV185"/>
  <c r="AS185"/>
  <c r="AQ185"/>
  <c r="AI185"/>
  <c r="AE185"/>
  <c r="AA185"/>
  <c r="T185"/>
  <c r="S185"/>
  <c r="G185"/>
  <c r="G202"/>
  <c r="AS184"/>
  <c r="AR184"/>
  <c r="AQ184"/>
  <c r="AP184"/>
  <c r="AK184"/>
  <c r="AM184"/>
  <c r="AJ184"/>
  <c r="AI184"/>
  <c r="AG184"/>
  <c r="AE184"/>
  <c r="R184"/>
  <c r="Z184"/>
  <c r="AO184"/>
  <c r="AS183"/>
  <c r="AR183"/>
  <c r="AQ183"/>
  <c r="AJ183"/>
  <c r="AJ185"/>
  <c r="AI183"/>
  <c r="AG183"/>
  <c r="AG185"/>
  <c r="AE183"/>
  <c r="I183"/>
  <c r="R183"/>
  <c r="AW183"/>
  <c r="AS182"/>
  <c r="AR182"/>
  <c r="AQ182"/>
  <c r="AP182"/>
  <c r="AO182"/>
  <c r="AL182"/>
  <c r="AK182"/>
  <c r="AJ182"/>
  <c r="AN182"/>
  <c r="AI182"/>
  <c r="AM182"/>
  <c r="AS181"/>
  <c r="AR181"/>
  <c r="AQ181"/>
  <c r="AP181"/>
  <c r="AO181"/>
  <c r="AL181"/>
  <c r="AN181"/>
  <c r="AK181"/>
  <c r="AM181"/>
  <c r="AJ181"/>
  <c r="AI181"/>
  <c r="AV179"/>
  <c r="Z179"/>
  <c r="U179"/>
  <c r="T179"/>
  <c r="S179"/>
  <c r="G179"/>
  <c r="AP178"/>
  <c r="AO178"/>
  <c r="AJ178"/>
  <c r="AI178"/>
  <c r="AH178"/>
  <c r="AA178"/>
  <c r="AQ178"/>
  <c r="AG178"/>
  <c r="W178"/>
  <c r="AS178"/>
  <c r="P178"/>
  <c r="R178"/>
  <c r="AU177"/>
  <c r="AR177"/>
  <c r="AP177"/>
  <c r="AO177"/>
  <c r="AN177"/>
  <c r="AL177"/>
  <c r="AJ177"/>
  <c r="AI177"/>
  <c r="AG177"/>
  <c r="W177"/>
  <c r="AS177"/>
  <c r="P177"/>
  <c r="R177"/>
  <c r="AK177"/>
  <c r="AP176"/>
  <c r="AO176"/>
  <c r="AJ176"/>
  <c r="AI176"/>
  <c r="AG176"/>
  <c r="P176"/>
  <c r="R176"/>
  <c r="AH176"/>
  <c r="AA176"/>
  <c r="AQ176"/>
  <c r="AP175"/>
  <c r="AO175"/>
  <c r="AL175"/>
  <c r="AU175"/>
  <c r="AJ175"/>
  <c r="AI175"/>
  <c r="AG175"/>
  <c r="W175"/>
  <c r="AS175"/>
  <c r="P175"/>
  <c r="R175"/>
  <c r="AK175"/>
  <c r="AT175"/>
  <c r="AP174"/>
  <c r="AO174"/>
  <c r="AJ174"/>
  <c r="AI174"/>
  <c r="AG174"/>
  <c r="P174"/>
  <c r="AV172"/>
  <c r="AV180"/>
  <c r="AV422"/>
  <c r="T172"/>
  <c r="S172"/>
  <c r="Q172"/>
  <c r="I172"/>
  <c r="G172"/>
  <c r="AS171"/>
  <c r="AR171"/>
  <c r="AQ171"/>
  <c r="AJ171"/>
  <c r="AI171"/>
  <c r="AG171"/>
  <c r="AE171"/>
  <c r="R171"/>
  <c r="AL171"/>
  <c r="P171"/>
  <c r="AT170"/>
  <c r="AS170"/>
  <c r="AR170"/>
  <c r="AQ170"/>
  <c r="AM170"/>
  <c r="AJ170"/>
  <c r="AI170"/>
  <c r="AG170"/>
  <c r="AE170"/>
  <c r="Z170"/>
  <c r="AO170"/>
  <c r="R170"/>
  <c r="AK170"/>
  <c r="P170"/>
  <c r="AW169"/>
  <c r="AS169"/>
  <c r="AR169"/>
  <c r="AQ169"/>
  <c r="AN169"/>
  <c r="AK169"/>
  <c r="AJ169"/>
  <c r="AI169"/>
  <c r="AG169"/>
  <c r="AE169"/>
  <c r="P169"/>
  <c r="R169"/>
  <c r="AL169"/>
  <c r="AU169"/>
  <c r="AS168"/>
  <c r="AR168"/>
  <c r="AQ168"/>
  <c r="AJ168"/>
  <c r="AI168"/>
  <c r="AG168"/>
  <c r="AE168"/>
  <c r="R168"/>
  <c r="AK168"/>
  <c r="P168"/>
  <c r="AS167"/>
  <c r="AR167"/>
  <c r="AQ167"/>
  <c r="AJ167"/>
  <c r="AI167"/>
  <c r="AG167"/>
  <c r="AE167"/>
  <c r="P167"/>
  <c r="R167"/>
  <c r="AS166"/>
  <c r="AR166"/>
  <c r="AJ166"/>
  <c r="AI166"/>
  <c r="AI172"/>
  <c r="AG166"/>
  <c r="AE166"/>
  <c r="P166"/>
  <c r="R166"/>
  <c r="AV164"/>
  <c r="AQ164"/>
  <c r="AI164"/>
  <c r="AG164"/>
  <c r="AE164"/>
  <c r="AA164"/>
  <c r="T164"/>
  <c r="T180"/>
  <c r="T422"/>
  <c r="S164"/>
  <c r="K164"/>
  <c r="J164"/>
  <c r="I164"/>
  <c r="G164"/>
  <c r="G180"/>
  <c r="AS163"/>
  <c r="AS164"/>
  <c r="AR163"/>
  <c r="AR164"/>
  <c r="AQ163"/>
  <c r="AJ163"/>
  <c r="AJ164"/>
  <c r="AI163"/>
  <c r="AG163"/>
  <c r="AE163"/>
  <c r="P163"/>
  <c r="AS162"/>
  <c r="AR162"/>
  <c r="AQ162"/>
  <c r="AP162"/>
  <c r="AO162"/>
  <c r="AL162"/>
  <c r="AK162"/>
  <c r="AM162"/>
  <c r="AJ162"/>
  <c r="AI162"/>
  <c r="AS161"/>
  <c r="AR161"/>
  <c r="AQ161"/>
  <c r="AP161"/>
  <c r="AO161"/>
  <c r="AL161"/>
  <c r="AN161"/>
  <c r="AK161"/>
  <c r="AT161"/>
  <c r="AJ161"/>
  <c r="AI161"/>
  <c r="AM161"/>
  <c r="G160"/>
  <c r="AV159"/>
  <c r="T159"/>
  <c r="S159"/>
  <c r="S451"/>
  <c r="G159"/>
  <c r="AP158"/>
  <c r="AO158"/>
  <c r="AJ158"/>
  <c r="AI158"/>
  <c r="AG158"/>
  <c r="R158"/>
  <c r="AP157"/>
  <c r="AO157"/>
  <c r="AJ157"/>
  <c r="AI157"/>
  <c r="AG157"/>
  <c r="R157"/>
  <c r="AK157"/>
  <c r="AP156"/>
  <c r="AO156"/>
  <c r="AJ156"/>
  <c r="AI156"/>
  <c r="AG156"/>
  <c r="R156"/>
  <c r="AK156"/>
  <c r="AW155"/>
  <c r="AP155"/>
  <c r="AP159"/>
  <c r="AO155"/>
  <c r="AL155"/>
  <c r="AU155"/>
  <c r="AJ155"/>
  <c r="AI155"/>
  <c r="AG155"/>
  <c r="AH155"/>
  <c r="AA155"/>
  <c r="AQ155"/>
  <c r="W155"/>
  <c r="AS155"/>
  <c r="R155"/>
  <c r="AK155"/>
  <c r="AT155"/>
  <c r="AP154"/>
  <c r="AO154"/>
  <c r="AO159"/>
  <c r="AK154"/>
  <c r="AJ154"/>
  <c r="AJ159"/>
  <c r="AI154"/>
  <c r="AI159"/>
  <c r="AG154"/>
  <c r="AG159"/>
  <c r="R154"/>
  <c r="AV152"/>
  <c r="T152"/>
  <c r="T160"/>
  <c r="S152"/>
  <c r="G152"/>
  <c r="AS151"/>
  <c r="AR151"/>
  <c r="AJ151"/>
  <c r="AI151"/>
  <c r="AG151"/>
  <c r="AE151"/>
  <c r="R151"/>
  <c r="AS150"/>
  <c r="AR150"/>
  <c r="AJ150"/>
  <c r="AI150"/>
  <c r="AG150"/>
  <c r="AE150"/>
  <c r="R150"/>
  <c r="AS149"/>
  <c r="AR149"/>
  <c r="AJ149"/>
  <c r="AI149"/>
  <c r="AG149"/>
  <c r="AE149"/>
  <c r="R149"/>
  <c r="AW148"/>
  <c r="AS148"/>
  <c r="AR148"/>
  <c r="AK148"/>
  <c r="AJ148"/>
  <c r="AI148"/>
  <c r="AG148"/>
  <c r="AE148"/>
  <c r="Z148"/>
  <c r="AO148"/>
  <c r="R148"/>
  <c r="AL148"/>
  <c r="AU148"/>
  <c r="AS147"/>
  <c r="AR147"/>
  <c r="AK147"/>
  <c r="AT147"/>
  <c r="AJ147"/>
  <c r="AI147"/>
  <c r="AG147"/>
  <c r="AE147"/>
  <c r="R147"/>
  <c r="AS146"/>
  <c r="AR146"/>
  <c r="AJ146"/>
  <c r="AI146"/>
  <c r="AG146"/>
  <c r="AE146"/>
  <c r="R146"/>
  <c r="AS145"/>
  <c r="AR145"/>
  <c r="AJ145"/>
  <c r="AI145"/>
  <c r="AG145"/>
  <c r="AE145"/>
  <c r="R145"/>
  <c r="AS144"/>
  <c r="AR144"/>
  <c r="AJ144"/>
  <c r="AI144"/>
  <c r="AG144"/>
  <c r="AE144"/>
  <c r="R144"/>
  <c r="AS143"/>
  <c r="AR143"/>
  <c r="AJ143"/>
  <c r="AI143"/>
  <c r="AG143"/>
  <c r="AE143"/>
  <c r="R143"/>
  <c r="AS142"/>
  <c r="AR142"/>
  <c r="AQ142"/>
  <c r="AJ142"/>
  <c r="AI142"/>
  <c r="AG142"/>
  <c r="AE142"/>
  <c r="R142"/>
  <c r="I142"/>
  <c r="I152"/>
  <c r="AV140"/>
  <c r="AV160"/>
  <c r="T140"/>
  <c r="S140"/>
  <c r="S160"/>
  <c r="P140"/>
  <c r="P160"/>
  <c r="G140"/>
  <c r="AS139"/>
  <c r="AR139"/>
  <c r="AQ139"/>
  <c r="AJ139"/>
  <c r="AI139"/>
  <c r="AG139"/>
  <c r="AE139"/>
  <c r="R139"/>
  <c r="AL139"/>
  <c r="AU139"/>
  <c r="P139"/>
  <c r="AS138"/>
  <c r="AR138"/>
  <c r="AQ138"/>
  <c r="AK138"/>
  <c r="AT138"/>
  <c r="AJ138"/>
  <c r="AI138"/>
  <c r="AG138"/>
  <c r="AE138"/>
  <c r="P138"/>
  <c r="R138"/>
  <c r="Z138"/>
  <c r="AP138"/>
  <c r="AS137"/>
  <c r="AR137"/>
  <c r="AQ137"/>
  <c r="AJ137"/>
  <c r="AI137"/>
  <c r="AG137"/>
  <c r="AE137"/>
  <c r="K137"/>
  <c r="R137"/>
  <c r="AS136"/>
  <c r="AR136"/>
  <c r="AQ136"/>
  <c r="AJ136"/>
  <c r="AI136"/>
  <c r="AG136"/>
  <c r="AE136"/>
  <c r="K136"/>
  <c r="R136"/>
  <c r="AS135"/>
  <c r="AR135"/>
  <c r="AJ135"/>
  <c r="AI135"/>
  <c r="AG135"/>
  <c r="AE135"/>
  <c r="K135"/>
  <c r="R135"/>
  <c r="AS134"/>
  <c r="AR134"/>
  <c r="AQ134"/>
  <c r="AJ134"/>
  <c r="AI134"/>
  <c r="AG134"/>
  <c r="AE134"/>
  <c r="K134"/>
  <c r="R134"/>
  <c r="Z134"/>
  <c r="AS133"/>
  <c r="AR133"/>
  <c r="AQ133"/>
  <c r="AJ133"/>
  <c r="AI133"/>
  <c r="AG133"/>
  <c r="AE133"/>
  <c r="K133"/>
  <c r="R133"/>
  <c r="AL133"/>
  <c r="AU133"/>
  <c r="AS132"/>
  <c r="AR132"/>
  <c r="AQ132"/>
  <c r="AJ132"/>
  <c r="AI132"/>
  <c r="AG132"/>
  <c r="AE132"/>
  <c r="Z132"/>
  <c r="AP132"/>
  <c r="K132"/>
  <c r="R132"/>
  <c r="AK132"/>
  <c r="AT132"/>
  <c r="AS131"/>
  <c r="AR131"/>
  <c r="AQ131"/>
  <c r="AJ131"/>
  <c r="AI131"/>
  <c r="AG131"/>
  <c r="AE131"/>
  <c r="R131"/>
  <c r="I131"/>
  <c r="K131"/>
  <c r="AV126"/>
  <c r="T126"/>
  <c r="S126"/>
  <c r="G126"/>
  <c r="AS125"/>
  <c r="AR125"/>
  <c r="AQ125"/>
  <c r="AJ125"/>
  <c r="AI125"/>
  <c r="AG125"/>
  <c r="AE125"/>
  <c r="R125"/>
  <c r="AL125"/>
  <c r="AU125"/>
  <c r="P125"/>
  <c r="AS124"/>
  <c r="AR124"/>
  <c r="AJ124"/>
  <c r="AI124"/>
  <c r="AG124"/>
  <c r="AE124"/>
  <c r="R124"/>
  <c r="AK124"/>
  <c r="AT124"/>
  <c r="AW123"/>
  <c r="AS123"/>
  <c r="AR123"/>
  <c r="AL123"/>
  <c r="AU123"/>
  <c r="AJ123"/>
  <c r="AI123"/>
  <c r="AG123"/>
  <c r="AE123"/>
  <c r="R123"/>
  <c r="AS122"/>
  <c r="AR122"/>
  <c r="AJ122"/>
  <c r="AI122"/>
  <c r="AG122"/>
  <c r="AE122"/>
  <c r="R122"/>
  <c r="AW122"/>
  <c r="AW121"/>
  <c r="AS121"/>
  <c r="AR121"/>
  <c r="AL121"/>
  <c r="AU121"/>
  <c r="AJ121"/>
  <c r="AN121"/>
  <c r="AI121"/>
  <c r="AG121"/>
  <c r="AE121"/>
  <c r="Z121"/>
  <c r="AP121"/>
  <c r="R121"/>
  <c r="AK121"/>
  <c r="AS120"/>
  <c r="AR120"/>
  <c r="AJ120"/>
  <c r="AI120"/>
  <c r="AG120"/>
  <c r="AE120"/>
  <c r="R120"/>
  <c r="AW120"/>
  <c r="AS119"/>
  <c r="AR119"/>
  <c r="AL119"/>
  <c r="AN119"/>
  <c r="AJ119"/>
  <c r="AI119"/>
  <c r="AG119"/>
  <c r="AE119"/>
  <c r="R119"/>
  <c r="AK119"/>
  <c r="AS118"/>
  <c r="AR118"/>
  <c r="AJ118"/>
  <c r="AI118"/>
  <c r="AG118"/>
  <c r="AE118"/>
  <c r="R118"/>
  <c r="AL118"/>
  <c r="AS117"/>
  <c r="AR117"/>
  <c r="AJ117"/>
  <c r="AI117"/>
  <c r="AG117"/>
  <c r="AE117"/>
  <c r="R117"/>
  <c r="AS116"/>
  <c r="AR116"/>
  <c r="AJ116"/>
  <c r="AI116"/>
  <c r="AI126"/>
  <c r="AG116"/>
  <c r="AE116"/>
  <c r="R116"/>
  <c r="AS115"/>
  <c r="AS126"/>
  <c r="AR115"/>
  <c r="AJ115"/>
  <c r="AI115"/>
  <c r="AG115"/>
  <c r="AG126"/>
  <c r="AE115"/>
  <c r="R115"/>
  <c r="AV113"/>
  <c r="T113"/>
  <c r="S113"/>
  <c r="G113"/>
  <c r="G127"/>
  <c r="AW112"/>
  <c r="AK112"/>
  <c r="AJ112"/>
  <c r="AI112"/>
  <c r="AM112"/>
  <c r="AG112"/>
  <c r="AH112"/>
  <c r="AE112"/>
  <c r="Z112"/>
  <c r="AB112"/>
  <c r="R112"/>
  <c r="AL112"/>
  <c r="AS111"/>
  <c r="AR111"/>
  <c r="AQ111"/>
  <c r="AJ111"/>
  <c r="AI111"/>
  <c r="AG111"/>
  <c r="AE111"/>
  <c r="K111"/>
  <c r="R111"/>
  <c r="AS110"/>
  <c r="AR110"/>
  <c r="AQ110"/>
  <c r="AJ110"/>
  <c r="AI110"/>
  <c r="AG110"/>
  <c r="AE110"/>
  <c r="R110"/>
  <c r="Z110"/>
  <c r="AJ109"/>
  <c r="AG109"/>
  <c r="AA109"/>
  <c r="AE109"/>
  <c r="R109"/>
  <c r="Z109"/>
  <c r="AS108"/>
  <c r="AR108"/>
  <c r="AJ108"/>
  <c r="AI108"/>
  <c r="AG108"/>
  <c r="AE108"/>
  <c r="R108"/>
  <c r="AI107"/>
  <c r="K107"/>
  <c r="R107"/>
  <c r="AS106"/>
  <c r="AR106"/>
  <c r="AQ106"/>
  <c r="AJ106"/>
  <c r="AI106"/>
  <c r="AG106"/>
  <c r="AE106"/>
  <c r="R106"/>
  <c r="Z106"/>
  <c r="K106"/>
  <c r="AS105"/>
  <c r="AR105"/>
  <c r="AQ105"/>
  <c r="AO105"/>
  <c r="AK105"/>
  <c r="AM105"/>
  <c r="AJ105"/>
  <c r="AI105"/>
  <c r="AG105"/>
  <c r="AE105"/>
  <c r="Z105"/>
  <c r="AP105"/>
  <c r="R105"/>
  <c r="AW105"/>
  <c r="AS104"/>
  <c r="AR104"/>
  <c r="AQ104"/>
  <c r="AJ104"/>
  <c r="AI104"/>
  <c r="AG104"/>
  <c r="AE104"/>
  <c r="P104"/>
  <c r="R104"/>
  <c r="AS103"/>
  <c r="AR103"/>
  <c r="AQ103"/>
  <c r="AJ103"/>
  <c r="AI103"/>
  <c r="AG103"/>
  <c r="AE103"/>
  <c r="R103"/>
  <c r="AK103"/>
  <c r="P103"/>
  <c r="AS102"/>
  <c r="AR102"/>
  <c r="AQ102"/>
  <c r="AJ102"/>
  <c r="AI102"/>
  <c r="AG102"/>
  <c r="AE102"/>
  <c r="R102"/>
  <c r="AS101"/>
  <c r="AR101"/>
  <c r="AQ101"/>
  <c r="AK101"/>
  <c r="AT101"/>
  <c r="AJ101"/>
  <c r="AI101"/>
  <c r="AG101"/>
  <c r="AE101"/>
  <c r="Z101"/>
  <c r="AP101"/>
  <c r="R101"/>
  <c r="AL101"/>
  <c r="AS100"/>
  <c r="P100"/>
  <c r="R100"/>
  <c r="AW99"/>
  <c r="AJ99"/>
  <c r="AI99"/>
  <c r="AG99"/>
  <c r="AE99"/>
  <c r="R99"/>
  <c r="AL99"/>
  <c r="P99"/>
  <c r="AS98"/>
  <c r="AR98"/>
  <c r="AQ98"/>
  <c r="AJ98"/>
  <c r="AI98"/>
  <c r="AG98"/>
  <c r="AE98"/>
  <c r="P98"/>
  <c r="R98"/>
  <c r="AS97"/>
  <c r="AR97"/>
  <c r="AQ97"/>
  <c r="AJ97"/>
  <c r="AI97"/>
  <c r="AG97"/>
  <c r="AE97"/>
  <c r="R97"/>
  <c r="AK97"/>
  <c r="P97"/>
  <c r="AS96"/>
  <c r="AR96"/>
  <c r="AQ96"/>
  <c r="AK96"/>
  <c r="AT96"/>
  <c r="AJ96"/>
  <c r="AI96"/>
  <c r="AG96"/>
  <c r="AE96"/>
  <c r="Z96"/>
  <c r="AP96"/>
  <c r="R96"/>
  <c r="AL96"/>
  <c r="AS95"/>
  <c r="AR95"/>
  <c r="AJ95"/>
  <c r="AI95"/>
  <c r="AG95"/>
  <c r="AE95"/>
  <c r="R95"/>
  <c r="AL95"/>
  <c r="AS94"/>
  <c r="AR94"/>
  <c r="AL94"/>
  <c r="AU94"/>
  <c r="AJ94"/>
  <c r="AI94"/>
  <c r="AG94"/>
  <c r="AH94"/>
  <c r="AA94"/>
  <c r="AE94"/>
  <c r="R94"/>
  <c r="AS93"/>
  <c r="AR93"/>
  <c r="AQ93"/>
  <c r="AJ93"/>
  <c r="AI93"/>
  <c r="AG93"/>
  <c r="AE93"/>
  <c r="P93"/>
  <c r="R93"/>
  <c r="AS92"/>
  <c r="AR92"/>
  <c r="AQ92"/>
  <c r="AJ92"/>
  <c r="AI92"/>
  <c r="AG92"/>
  <c r="AE92"/>
  <c r="R92"/>
  <c r="K92"/>
  <c r="AS91"/>
  <c r="AR91"/>
  <c r="AQ91"/>
  <c r="AJ91"/>
  <c r="AI91"/>
  <c r="AG91"/>
  <c r="AE91"/>
  <c r="Z91"/>
  <c r="K91"/>
  <c r="R91"/>
  <c r="AS90"/>
  <c r="AR90"/>
  <c r="AQ90"/>
  <c r="AJ90"/>
  <c r="AI90"/>
  <c r="AG90"/>
  <c r="AE90"/>
  <c r="R90"/>
  <c r="AW90"/>
  <c r="K90"/>
  <c r="AV87"/>
  <c r="AV419"/>
  <c r="T87"/>
  <c r="S87"/>
  <c r="G87"/>
  <c r="AS86"/>
  <c r="AR86"/>
  <c r="AP86"/>
  <c r="AO86"/>
  <c r="AJ86"/>
  <c r="AI86"/>
  <c r="AG86"/>
  <c r="R86"/>
  <c r="AW86"/>
  <c r="AS85"/>
  <c r="AR85"/>
  <c r="AP85"/>
  <c r="AO85"/>
  <c r="AJ85"/>
  <c r="AI85"/>
  <c r="AG85"/>
  <c r="AH85"/>
  <c r="AA85"/>
  <c r="AQ85"/>
  <c r="R85"/>
  <c r="AW85"/>
  <c r="AS84"/>
  <c r="AR84"/>
  <c r="AP84"/>
  <c r="AO84"/>
  <c r="AJ84"/>
  <c r="AI84"/>
  <c r="AG84"/>
  <c r="AH84"/>
  <c r="AA84"/>
  <c r="AQ84"/>
  <c r="R84"/>
  <c r="AW84"/>
  <c r="AS83"/>
  <c r="AR83"/>
  <c r="AP83"/>
  <c r="AO83"/>
  <c r="AJ83"/>
  <c r="AI83"/>
  <c r="AG83"/>
  <c r="R83"/>
  <c r="AW83"/>
  <c r="AS82"/>
  <c r="AR82"/>
  <c r="AP82"/>
  <c r="AO82"/>
  <c r="AJ82"/>
  <c r="AI82"/>
  <c r="AG82"/>
  <c r="R82"/>
  <c r="AW82"/>
  <c r="AS81"/>
  <c r="AR81"/>
  <c r="AP81"/>
  <c r="AO81"/>
  <c r="AJ81"/>
  <c r="AI81"/>
  <c r="AG81"/>
  <c r="AH81"/>
  <c r="AA81"/>
  <c r="AQ81"/>
  <c r="R81"/>
  <c r="AW81"/>
  <c r="AS80"/>
  <c r="AR80"/>
  <c r="AP80"/>
  <c r="AO80"/>
  <c r="AJ80"/>
  <c r="AI80"/>
  <c r="AG80"/>
  <c r="R80"/>
  <c r="AW80"/>
  <c r="AS79"/>
  <c r="AR79"/>
  <c r="AP79"/>
  <c r="AO79"/>
  <c r="AJ79"/>
  <c r="AI79"/>
  <c r="AG79"/>
  <c r="R79"/>
  <c r="AW79"/>
  <c r="AS78"/>
  <c r="AR78"/>
  <c r="AP78"/>
  <c r="AO78"/>
  <c r="AJ78"/>
  <c r="AI78"/>
  <c r="AG78"/>
  <c r="R78"/>
  <c r="AW78"/>
  <c r="AS77"/>
  <c r="AR77"/>
  <c r="AP77"/>
  <c r="AO77"/>
  <c r="AJ77"/>
  <c r="AI77"/>
  <c r="AG77"/>
  <c r="AH77"/>
  <c r="AA77"/>
  <c r="AQ77"/>
  <c r="R77"/>
  <c r="AW77"/>
  <c r="AS76"/>
  <c r="AR76"/>
  <c r="AP76"/>
  <c r="AO76"/>
  <c r="AK76"/>
  <c r="AJ76"/>
  <c r="AI76"/>
  <c r="AG76"/>
  <c r="AH76"/>
  <c r="AA76"/>
  <c r="AQ76"/>
  <c r="R76"/>
  <c r="AW76"/>
  <c r="AL75"/>
  <c r="AS74"/>
  <c r="AR74"/>
  <c r="AP74"/>
  <c r="AO74"/>
  <c r="AJ74"/>
  <c r="AI74"/>
  <c r="AG74"/>
  <c r="AH74"/>
  <c r="AA74"/>
  <c r="AQ74"/>
  <c r="R74"/>
  <c r="AS73"/>
  <c r="AR73"/>
  <c r="AP73"/>
  <c r="AO73"/>
  <c r="AJ73"/>
  <c r="AI73"/>
  <c r="AG73"/>
  <c r="AH73"/>
  <c r="AA73"/>
  <c r="AQ73"/>
  <c r="R73"/>
  <c r="AP72"/>
  <c r="AO72"/>
  <c r="AJ72"/>
  <c r="AI72"/>
  <c r="AG72"/>
  <c r="R72"/>
  <c r="AU71"/>
  <c r="AP71"/>
  <c r="AO71"/>
  <c r="AJ71"/>
  <c r="AI71"/>
  <c r="AG71"/>
  <c r="AH71"/>
  <c r="AA71"/>
  <c r="AQ71"/>
  <c r="R71"/>
  <c r="AL71"/>
  <c r="AW70"/>
  <c r="AP70"/>
  <c r="AO70"/>
  <c r="AJ70"/>
  <c r="AI70"/>
  <c r="AH70"/>
  <c r="AA70"/>
  <c r="AQ70"/>
  <c r="AG70"/>
  <c r="R70"/>
  <c r="AP69"/>
  <c r="AO69"/>
  <c r="AJ69"/>
  <c r="AI69"/>
  <c r="AG69"/>
  <c r="AH69"/>
  <c r="AA69"/>
  <c r="AQ69"/>
  <c r="R69"/>
  <c r="AL68"/>
  <c r="AU67"/>
  <c r="AS67"/>
  <c r="AR67"/>
  <c r="AP67"/>
  <c r="AO67"/>
  <c r="AJ67"/>
  <c r="AI67"/>
  <c r="AG67"/>
  <c r="AH67"/>
  <c r="AA67"/>
  <c r="AB67"/>
  <c r="R67"/>
  <c r="AL67"/>
  <c r="AN67"/>
  <c r="AS66"/>
  <c r="AR66"/>
  <c r="AP66"/>
  <c r="AO66"/>
  <c r="AJ66"/>
  <c r="AI66"/>
  <c r="AG66"/>
  <c r="AH66"/>
  <c r="AA66"/>
  <c r="R66"/>
  <c r="AL66"/>
  <c r="AU66"/>
  <c r="AS65"/>
  <c r="AR65"/>
  <c r="AP65"/>
  <c r="AO65"/>
  <c r="AJ65"/>
  <c r="AI65"/>
  <c r="AG65"/>
  <c r="R65"/>
  <c r="AU64"/>
  <c r="AS64"/>
  <c r="AR64"/>
  <c r="AP64"/>
  <c r="AO64"/>
  <c r="AJ64"/>
  <c r="AI64"/>
  <c r="AG64"/>
  <c r="R64"/>
  <c r="AL64"/>
  <c r="AS63"/>
  <c r="AP63"/>
  <c r="AO63"/>
  <c r="AJ63"/>
  <c r="AI63"/>
  <c r="AG63"/>
  <c r="AH63"/>
  <c r="AA63"/>
  <c r="AQ63"/>
  <c r="S63"/>
  <c r="AR63"/>
  <c r="R63"/>
  <c r="AL63"/>
  <c r="AN63"/>
  <c r="AS62"/>
  <c r="AR62"/>
  <c r="AP62"/>
  <c r="AO62"/>
  <c r="AJ62"/>
  <c r="AI62"/>
  <c r="AG62"/>
  <c r="R62"/>
  <c r="AL62"/>
  <c r="AU62"/>
  <c r="AS61"/>
  <c r="AR61"/>
  <c r="AP61"/>
  <c r="AO61"/>
  <c r="AJ61"/>
  <c r="AI61"/>
  <c r="AG61"/>
  <c r="R61"/>
  <c r="AW61"/>
  <c r="AL60"/>
  <c r="AS59"/>
  <c r="AR59"/>
  <c r="AP59"/>
  <c r="AO59"/>
  <c r="AJ59"/>
  <c r="AI59"/>
  <c r="AH59"/>
  <c r="AA59"/>
  <c r="AQ59"/>
  <c r="AG59"/>
  <c r="R59"/>
  <c r="AL59"/>
  <c r="AS58"/>
  <c r="AR58"/>
  <c r="AP58"/>
  <c r="AO58"/>
  <c r="AJ58"/>
  <c r="AI58"/>
  <c r="AG58"/>
  <c r="R58"/>
  <c r="AW57"/>
  <c r="AP57"/>
  <c r="AO57"/>
  <c r="AL57"/>
  <c r="AJ57"/>
  <c r="AI57"/>
  <c r="AG57"/>
  <c r="W57"/>
  <c r="R57"/>
  <c r="AK57"/>
  <c r="AM57"/>
  <c r="AP56"/>
  <c r="AO56"/>
  <c r="AJ56"/>
  <c r="AI56"/>
  <c r="AG56"/>
  <c r="R56"/>
  <c r="AL56"/>
  <c r="AL55"/>
  <c r="AS54"/>
  <c r="AR54"/>
  <c r="AP54"/>
  <c r="AO54"/>
  <c r="AJ54"/>
  <c r="AI54"/>
  <c r="AG54"/>
  <c r="AH54"/>
  <c r="AA54"/>
  <c r="AQ54"/>
  <c r="I54"/>
  <c r="R54"/>
  <c r="AK54"/>
  <c r="AS53"/>
  <c r="AR53"/>
  <c r="AP53"/>
  <c r="AO53"/>
  <c r="AJ53"/>
  <c r="AH53"/>
  <c r="AA53"/>
  <c r="AQ53"/>
  <c r="R53"/>
  <c r="AL53"/>
  <c r="I53"/>
  <c r="AS52"/>
  <c r="AR52"/>
  <c r="AP52"/>
  <c r="AO52"/>
  <c r="AJ52"/>
  <c r="AI52"/>
  <c r="AG52"/>
  <c r="I52"/>
  <c r="R52"/>
  <c r="AS51"/>
  <c r="AR51"/>
  <c r="AP51"/>
  <c r="AO51"/>
  <c r="AJ51"/>
  <c r="AI51"/>
  <c r="AG51"/>
  <c r="R51"/>
  <c r="AL51"/>
  <c r="AU51"/>
  <c r="I51"/>
  <c r="AS50"/>
  <c r="AR50"/>
  <c r="AP50"/>
  <c r="AO50"/>
  <c r="AJ50"/>
  <c r="AI50"/>
  <c r="AG50"/>
  <c r="I50"/>
  <c r="R50"/>
  <c r="AK50"/>
  <c r="AS49"/>
  <c r="AR49"/>
  <c r="AP49"/>
  <c r="AO49"/>
  <c r="AJ49"/>
  <c r="AI49"/>
  <c r="AH49"/>
  <c r="AA49"/>
  <c r="AQ49"/>
  <c r="AG49"/>
  <c r="R49"/>
  <c r="AL49"/>
  <c r="I49"/>
  <c r="AL48"/>
  <c r="AS47"/>
  <c r="AR47"/>
  <c r="AP47"/>
  <c r="AO47"/>
  <c r="AJ47"/>
  <c r="AI47"/>
  <c r="AG47"/>
  <c r="R47"/>
  <c r="AW47"/>
  <c r="B47"/>
  <c r="B49"/>
  <c r="B50"/>
  <c r="B51"/>
  <c r="B52"/>
  <c r="B53"/>
  <c r="B54"/>
  <c r="B56"/>
  <c r="B57"/>
  <c r="B58"/>
  <c r="B59"/>
  <c r="B61"/>
  <c r="B62"/>
  <c r="B63"/>
  <c r="B64"/>
  <c r="B65"/>
  <c r="B66"/>
  <c r="B67"/>
  <c r="B69"/>
  <c r="B70"/>
  <c r="B71"/>
  <c r="B72"/>
  <c r="B73"/>
  <c r="B74"/>
  <c r="B76"/>
  <c r="B77"/>
  <c r="B78"/>
  <c r="B79"/>
  <c r="B80"/>
  <c r="B81"/>
  <c r="B82"/>
  <c r="B83"/>
  <c r="B84"/>
  <c r="B85"/>
  <c r="B86"/>
  <c r="B90"/>
  <c r="B91"/>
  <c r="B92"/>
  <c r="B93"/>
  <c r="B94"/>
  <c r="B95"/>
  <c r="B96"/>
  <c r="B97"/>
  <c r="B98"/>
  <c r="B99"/>
  <c r="B100"/>
  <c r="B101"/>
  <c r="AS46"/>
  <c r="AR46"/>
  <c r="AP46"/>
  <c r="AO46"/>
  <c r="AJ46"/>
  <c r="AI46"/>
  <c r="AG46"/>
  <c r="R46"/>
  <c r="AH46"/>
  <c r="AA46"/>
  <c r="AQ46"/>
  <c r="B46"/>
  <c r="AL45"/>
  <c r="AS44"/>
  <c r="AR44"/>
  <c r="AP44"/>
  <c r="AO44"/>
  <c r="AJ44"/>
  <c r="AI44"/>
  <c r="AG44"/>
  <c r="R44"/>
  <c r="AL44"/>
  <c r="AU44"/>
  <c r="AV42"/>
  <c r="T42"/>
  <c r="S42"/>
  <c r="G42"/>
  <c r="AO41"/>
  <c r="AJ41"/>
  <c r="AI41"/>
  <c r="AG41"/>
  <c r="R41"/>
  <c r="AS40"/>
  <c r="AR40"/>
  <c r="AP40"/>
  <c r="AO40"/>
  <c r="AK40"/>
  <c r="AT40"/>
  <c r="AJ40"/>
  <c r="AI40"/>
  <c r="AM40"/>
  <c r="AG40"/>
  <c r="AH40"/>
  <c r="AA40"/>
  <c r="AQ40"/>
  <c r="R40"/>
  <c r="AL40"/>
  <c r="AN40"/>
  <c r="AS39"/>
  <c r="AR39"/>
  <c r="AP39"/>
  <c r="AO39"/>
  <c r="AJ39"/>
  <c r="AI39"/>
  <c r="AG39"/>
  <c r="R39"/>
  <c r="AL39"/>
  <c r="AU39"/>
  <c r="AS38"/>
  <c r="AR38"/>
  <c r="AP38"/>
  <c r="AO38"/>
  <c r="AJ38"/>
  <c r="AI38"/>
  <c r="AG38"/>
  <c r="AH38"/>
  <c r="AA38"/>
  <c r="AQ38"/>
  <c r="R38"/>
  <c r="AW38"/>
  <c r="AS37"/>
  <c r="AR37"/>
  <c r="AP37"/>
  <c r="AO37"/>
  <c r="AJ37"/>
  <c r="AI37"/>
  <c r="AG37"/>
  <c r="R37"/>
  <c r="AH37"/>
  <c r="AA37"/>
  <c r="AQ37"/>
  <c r="AS36"/>
  <c r="AR36"/>
  <c r="AP36"/>
  <c r="AO36"/>
  <c r="AJ36"/>
  <c r="AI36"/>
  <c r="AG36"/>
  <c r="R36"/>
  <c r="AL36"/>
  <c r="AS35"/>
  <c r="AR35"/>
  <c r="AR42"/>
  <c r="AR418"/>
  <c r="AP35"/>
  <c r="AP42"/>
  <c r="AP418"/>
  <c r="AO35"/>
  <c r="AJ35"/>
  <c r="AI35"/>
  <c r="AG35"/>
  <c r="R35"/>
  <c r="AL35"/>
  <c r="AU35"/>
  <c r="AS34"/>
  <c r="AR34"/>
  <c r="AP34"/>
  <c r="AO34"/>
  <c r="AO42"/>
  <c r="AO418"/>
  <c r="AJ34"/>
  <c r="AI34"/>
  <c r="AI42"/>
  <c r="AI418"/>
  <c r="AG34"/>
  <c r="R34"/>
  <c r="AW34"/>
  <c r="AV32"/>
  <c r="AV417"/>
  <c r="AR32"/>
  <c r="AR417"/>
  <c r="AJ32"/>
  <c r="AJ417"/>
  <c r="T32"/>
  <c r="T417"/>
  <c r="S32"/>
  <c r="S417"/>
  <c r="G32"/>
  <c r="AS31"/>
  <c r="AR31"/>
  <c r="AP31"/>
  <c r="AO31"/>
  <c r="AK31"/>
  <c r="AJ31"/>
  <c r="AI31"/>
  <c r="AG31"/>
  <c r="AH31"/>
  <c r="AA31"/>
  <c r="AQ31"/>
  <c r="R31"/>
  <c r="AW31"/>
  <c r="AS30"/>
  <c r="AR30"/>
  <c r="AJ30"/>
  <c r="AI30"/>
  <c r="AG30"/>
  <c r="AE30"/>
  <c r="R30"/>
  <c r="AK30"/>
  <c r="AU29"/>
  <c r="AS29"/>
  <c r="AR29"/>
  <c r="AP29"/>
  <c r="AO29"/>
  <c r="AM29"/>
  <c r="AK29"/>
  <c r="AJ29"/>
  <c r="AI29"/>
  <c r="AI32"/>
  <c r="AI417"/>
  <c r="AG29"/>
  <c r="AG32"/>
  <c r="AG417"/>
  <c r="R29"/>
  <c r="AL29"/>
  <c r="AN29"/>
  <c r="AV27"/>
  <c r="AV416"/>
  <c r="T27"/>
  <c r="T416"/>
  <c r="S27"/>
  <c r="S416"/>
  <c r="AS26"/>
  <c r="AR26"/>
  <c r="AP26"/>
  <c r="AO26"/>
  <c r="AJ26"/>
  <c r="AI26"/>
  <c r="AG26"/>
  <c r="R26"/>
  <c r="AL26"/>
  <c r="AU26"/>
  <c r="AS25"/>
  <c r="AR25"/>
  <c r="AP25"/>
  <c r="AO25"/>
  <c r="AJ25"/>
  <c r="AI25"/>
  <c r="AG25"/>
  <c r="R25"/>
  <c r="AW25"/>
  <c r="AS24"/>
  <c r="AR24"/>
  <c r="AP24"/>
  <c r="AO24"/>
  <c r="AJ24"/>
  <c r="AI24"/>
  <c r="AG24"/>
  <c r="R24"/>
  <c r="AS23"/>
  <c r="AR23"/>
  <c r="AP23"/>
  <c r="AO23"/>
  <c r="AJ23"/>
  <c r="AI23"/>
  <c r="AG23"/>
  <c r="AH23"/>
  <c r="AA23"/>
  <c r="AQ23"/>
  <c r="R23"/>
  <c r="AL23"/>
  <c r="AN23"/>
  <c r="AS22"/>
  <c r="AR22"/>
  <c r="AP22"/>
  <c r="AO22"/>
  <c r="AJ22"/>
  <c r="AI22"/>
  <c r="AG22"/>
  <c r="R22"/>
  <c r="AL22"/>
  <c r="AU22"/>
  <c r="AS21"/>
  <c r="AS27"/>
  <c r="AS416"/>
  <c r="AR21"/>
  <c r="AQ21"/>
  <c r="AP21"/>
  <c r="AO21"/>
  <c r="AO27"/>
  <c r="AO416"/>
  <c r="AG21"/>
  <c r="AG27"/>
  <c r="AG416"/>
  <c r="AS20"/>
  <c r="AR20"/>
  <c r="AQ20"/>
  <c r="AP20"/>
  <c r="AO20"/>
  <c r="AL20"/>
  <c r="AN20"/>
  <c r="AK20"/>
  <c r="AJ20"/>
  <c r="AI20"/>
  <c r="AV19"/>
  <c r="T19"/>
  <c r="S19"/>
  <c r="I19"/>
  <c r="AS18"/>
  <c r="AR18"/>
  <c r="AQ18"/>
  <c r="AP18"/>
  <c r="AO18"/>
  <c r="AK18"/>
  <c r="AT18"/>
  <c r="AJ18"/>
  <c r="AI18"/>
  <c r="AM18"/>
  <c r="AG18"/>
  <c r="AH18"/>
  <c r="AH19"/>
  <c r="AA18"/>
  <c r="AA19"/>
  <c r="R18"/>
  <c r="AL18"/>
  <c r="AN18"/>
  <c r="AS17"/>
  <c r="AR17"/>
  <c r="AQ17"/>
  <c r="AJ17"/>
  <c r="AI17"/>
  <c r="AG17"/>
  <c r="AE17"/>
  <c r="R17"/>
  <c r="N17"/>
  <c r="I17"/>
  <c r="AS16"/>
  <c r="AR16"/>
  <c r="AQ16"/>
  <c r="AP16"/>
  <c r="AO16"/>
  <c r="AG16"/>
  <c r="AW15"/>
  <c r="AS15"/>
  <c r="AR15"/>
  <c r="AQ15"/>
  <c r="AP15"/>
  <c r="AO15"/>
  <c r="AJ15"/>
  <c r="AI15"/>
  <c r="AD15"/>
  <c r="AE15"/>
  <c r="AF15"/>
  <c r="R15"/>
  <c r="AB15"/>
  <c r="N15"/>
  <c r="AS14"/>
  <c r="AR14"/>
  <c r="AQ14"/>
  <c r="AG14"/>
  <c r="AE14"/>
  <c r="I14"/>
  <c r="AS13"/>
  <c r="AR13"/>
  <c r="AQ13"/>
  <c r="AG13"/>
  <c r="AG19"/>
  <c r="AE13"/>
  <c r="I13"/>
  <c r="B13"/>
  <c r="B14"/>
  <c r="B16"/>
  <c r="B17"/>
  <c r="B18"/>
  <c r="B21"/>
  <c r="B22"/>
  <c r="B23"/>
  <c r="B24"/>
  <c r="B25"/>
  <c r="B26"/>
  <c r="B29"/>
  <c r="B30"/>
  <c r="B31"/>
  <c r="B34"/>
  <c r="B35"/>
  <c r="B36"/>
  <c r="B37"/>
  <c r="B38"/>
  <c r="B39"/>
  <c r="B40"/>
  <c r="B41"/>
  <c r="AS12"/>
  <c r="AS19"/>
  <c r="AR12"/>
  <c r="AQ12"/>
  <c r="AG12"/>
  <c r="I12"/>
  <c r="AG11"/>
  <c r="I11"/>
  <c r="K11"/>
  <c r="R11"/>
  <c r="AF10"/>
  <c r="AD10"/>
  <c r="I10"/>
  <c r="R10"/>
  <c r="B452" i="21"/>
  <c r="AX451"/>
  <c r="B451"/>
  <c r="AX450"/>
  <c r="B450"/>
  <c r="B449"/>
  <c r="AV448"/>
  <c r="T448"/>
  <c r="S448"/>
  <c r="AX447"/>
  <c r="AV447"/>
  <c r="T447"/>
  <c r="S447"/>
  <c r="AX446"/>
  <c r="AX449"/>
  <c r="AV446"/>
  <c r="T446"/>
  <c r="S446"/>
  <c r="B446"/>
  <c r="AX445"/>
  <c r="AV445"/>
  <c r="T445"/>
  <c r="S445"/>
  <c r="B445"/>
  <c r="C443"/>
  <c r="C442"/>
  <c r="C441"/>
  <c r="C440"/>
  <c r="C439"/>
  <c r="C438"/>
  <c r="C437"/>
  <c r="AV434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AV412"/>
  <c r="AV443"/>
  <c r="T412"/>
  <c r="S412"/>
  <c r="N412"/>
  <c r="I412"/>
  <c r="G412"/>
  <c r="R411"/>
  <c r="AS410"/>
  <c r="AR410"/>
  <c r="AQ410"/>
  <c r="AJ410"/>
  <c r="AI410"/>
  <c r="AE410"/>
  <c r="R410"/>
  <c r="AL410"/>
  <c r="AS409"/>
  <c r="AR409"/>
  <c r="AJ409"/>
  <c r="AI409"/>
  <c r="AI412"/>
  <c r="AG409"/>
  <c r="AE409"/>
  <c r="R409"/>
  <c r="Z409"/>
  <c r="AP409"/>
  <c r="AS408"/>
  <c r="AR408"/>
  <c r="AQ408"/>
  <c r="AP408"/>
  <c r="AO408"/>
  <c r="AL408"/>
  <c r="AK408"/>
  <c r="AM408"/>
  <c r="AJ408"/>
  <c r="AI408"/>
  <c r="S407"/>
  <c r="AV406"/>
  <c r="AV407"/>
  <c r="T406"/>
  <c r="S406"/>
  <c r="G406"/>
  <c r="AS405"/>
  <c r="AR405"/>
  <c r="AJ405"/>
  <c r="AI405"/>
  <c r="AG405"/>
  <c r="AE405"/>
  <c r="R405"/>
  <c r="AS404"/>
  <c r="AR404"/>
  <c r="AQ404"/>
  <c r="AJ404"/>
  <c r="AI404"/>
  <c r="AG404"/>
  <c r="AE404"/>
  <c r="R404"/>
  <c r="AS403"/>
  <c r="AR403"/>
  <c r="AQ403"/>
  <c r="AJ403"/>
  <c r="AJ406"/>
  <c r="AI403"/>
  <c r="AI406"/>
  <c r="AG403"/>
  <c r="AE403"/>
  <c r="R403"/>
  <c r="AV401"/>
  <c r="AG401"/>
  <c r="AA401"/>
  <c r="T401"/>
  <c r="S401"/>
  <c r="G401"/>
  <c r="G407"/>
  <c r="AS400"/>
  <c r="AR400"/>
  <c r="AQ400"/>
  <c r="AJ400"/>
  <c r="AI400"/>
  <c r="AG400"/>
  <c r="AE400"/>
  <c r="R400"/>
  <c r="AS399"/>
  <c r="AS401"/>
  <c r="AR399"/>
  <c r="AR401"/>
  <c r="AQ399"/>
  <c r="AQ401"/>
  <c r="AJ399"/>
  <c r="AI399"/>
  <c r="AI401"/>
  <c r="AI407"/>
  <c r="AG399"/>
  <c r="AE399"/>
  <c r="AE401"/>
  <c r="R399"/>
  <c r="AK399"/>
  <c r="AV395"/>
  <c r="T395"/>
  <c r="S395"/>
  <c r="G395"/>
  <c r="AW394"/>
  <c r="AP394"/>
  <c r="AP395"/>
  <c r="AO394"/>
  <c r="AO395"/>
  <c r="AJ394"/>
  <c r="AJ395"/>
  <c r="AI394"/>
  <c r="AI395"/>
  <c r="AG394"/>
  <c r="R394"/>
  <c r="AV392"/>
  <c r="T392"/>
  <c r="S392"/>
  <c r="G392"/>
  <c r="AS391"/>
  <c r="AR391"/>
  <c r="AQ391"/>
  <c r="AK391"/>
  <c r="AM391"/>
  <c r="AJ391"/>
  <c r="AI391"/>
  <c r="AG391"/>
  <c r="AE391"/>
  <c r="R391"/>
  <c r="AS390"/>
  <c r="AR390"/>
  <c r="AL390"/>
  <c r="AN390"/>
  <c r="AK390"/>
  <c r="AJ390"/>
  <c r="AI390"/>
  <c r="AG390"/>
  <c r="AE390"/>
  <c r="Z390"/>
  <c r="R390"/>
  <c r="AW389"/>
  <c r="AY389"/>
  <c r="AT389"/>
  <c r="AS389"/>
  <c r="AR389"/>
  <c r="AQ389"/>
  <c r="AL389"/>
  <c r="AU389"/>
  <c r="AJ389"/>
  <c r="AI389"/>
  <c r="AG389"/>
  <c r="AE389"/>
  <c r="Z389"/>
  <c r="AP389"/>
  <c r="R389"/>
  <c r="AK389"/>
  <c r="AM389"/>
  <c r="AS388"/>
  <c r="AR388"/>
  <c r="AQ388"/>
  <c r="AJ388"/>
  <c r="AI388"/>
  <c r="AG388"/>
  <c r="AE388"/>
  <c r="P388"/>
  <c r="R388"/>
  <c r="Z388"/>
  <c r="AS387"/>
  <c r="AR387"/>
  <c r="AQ387"/>
  <c r="AJ387"/>
  <c r="AI387"/>
  <c r="AG387"/>
  <c r="AE387"/>
  <c r="P387"/>
  <c r="R387"/>
  <c r="AS386"/>
  <c r="AR386"/>
  <c r="AQ386"/>
  <c r="AP386"/>
  <c r="AJ386"/>
  <c r="AI386"/>
  <c r="AG386"/>
  <c r="AE386"/>
  <c r="Z386"/>
  <c r="AO386"/>
  <c r="P386"/>
  <c r="R386"/>
  <c r="AW386"/>
  <c r="AY386"/>
  <c r="AS385"/>
  <c r="AR385"/>
  <c r="AQ385"/>
  <c r="AJ385"/>
  <c r="AI385"/>
  <c r="AG385"/>
  <c r="AE385"/>
  <c r="P385"/>
  <c r="R385"/>
  <c r="AS384"/>
  <c r="AR384"/>
  <c r="AQ384"/>
  <c r="AJ384"/>
  <c r="AI384"/>
  <c r="AG384"/>
  <c r="AE384"/>
  <c r="P384"/>
  <c r="AV382"/>
  <c r="AI382"/>
  <c r="AA382"/>
  <c r="T382"/>
  <c r="S382"/>
  <c r="S396"/>
  <c r="S432"/>
  <c r="G382"/>
  <c r="AS381"/>
  <c r="AS382"/>
  <c r="AR381"/>
  <c r="AR382"/>
  <c r="AQ381"/>
  <c r="AQ382"/>
  <c r="AJ381"/>
  <c r="AJ382"/>
  <c r="AI381"/>
  <c r="AG381"/>
  <c r="AG382"/>
  <c r="AE381"/>
  <c r="AE382"/>
  <c r="I381"/>
  <c r="P381"/>
  <c r="Q378"/>
  <c r="AV377"/>
  <c r="T377"/>
  <c r="S377"/>
  <c r="G377"/>
  <c r="AS376"/>
  <c r="AR376"/>
  <c r="AQ376"/>
  <c r="AJ376"/>
  <c r="AI376"/>
  <c r="AG376"/>
  <c r="AE376"/>
  <c r="P376"/>
  <c r="R376"/>
  <c r="AK376"/>
  <c r="AS375"/>
  <c r="AR375"/>
  <c r="AQ375"/>
  <c r="AJ375"/>
  <c r="AI375"/>
  <c r="AG375"/>
  <c r="AE375"/>
  <c r="P375"/>
  <c r="R375"/>
  <c r="AK375"/>
  <c r="AS374"/>
  <c r="AR374"/>
  <c r="AQ374"/>
  <c r="AJ374"/>
  <c r="AI374"/>
  <c r="AG374"/>
  <c r="AE374"/>
  <c r="P374"/>
  <c r="P377"/>
  <c r="AS373"/>
  <c r="AR373"/>
  <c r="AK373"/>
  <c r="AT373"/>
  <c r="AJ373"/>
  <c r="AI373"/>
  <c r="AG373"/>
  <c r="AE373"/>
  <c r="P373"/>
  <c r="R373"/>
  <c r="Z373"/>
  <c r="AV371"/>
  <c r="AV378"/>
  <c r="AV431"/>
  <c r="AR371"/>
  <c r="AA371"/>
  <c r="T371"/>
  <c r="T378"/>
  <c r="T431"/>
  <c r="S371"/>
  <c r="S378"/>
  <c r="S431"/>
  <c r="G371"/>
  <c r="AS370"/>
  <c r="AS371"/>
  <c r="AR370"/>
  <c r="AQ370"/>
  <c r="AQ371"/>
  <c r="AJ370"/>
  <c r="AJ371"/>
  <c r="AI370"/>
  <c r="AI371"/>
  <c r="AG370"/>
  <c r="AG371"/>
  <c r="AE370"/>
  <c r="AE371"/>
  <c r="P370"/>
  <c r="R370"/>
  <c r="AV366"/>
  <c r="AO366"/>
  <c r="AG366"/>
  <c r="Z366"/>
  <c r="T366"/>
  <c r="S366"/>
  <c r="G366"/>
  <c r="AP365"/>
  <c r="AP366"/>
  <c r="AO365"/>
  <c r="AJ365"/>
  <c r="AJ366"/>
  <c r="AI365"/>
  <c r="AI366"/>
  <c r="AG365"/>
  <c r="R365"/>
  <c r="AV363"/>
  <c r="AA363"/>
  <c r="T363"/>
  <c r="S363"/>
  <c r="G363"/>
  <c r="AS362"/>
  <c r="AR362"/>
  <c r="AQ362"/>
  <c r="AJ362"/>
  <c r="AI362"/>
  <c r="AG362"/>
  <c r="AE362"/>
  <c r="P362"/>
  <c r="R362"/>
  <c r="AS361"/>
  <c r="AR361"/>
  <c r="AQ361"/>
  <c r="AJ361"/>
  <c r="AI361"/>
  <c r="AG361"/>
  <c r="AE361"/>
  <c r="P361"/>
  <c r="R361"/>
  <c r="AS360"/>
  <c r="AR360"/>
  <c r="AQ360"/>
  <c r="AJ360"/>
  <c r="AI360"/>
  <c r="AG360"/>
  <c r="AE360"/>
  <c r="P360"/>
  <c r="R360"/>
  <c r="AS359"/>
  <c r="AR359"/>
  <c r="AQ359"/>
  <c r="AJ359"/>
  <c r="AI359"/>
  <c r="AI363"/>
  <c r="AG359"/>
  <c r="AE359"/>
  <c r="P359"/>
  <c r="R359"/>
  <c r="AW359"/>
  <c r="AY359"/>
  <c r="AW358"/>
  <c r="AY358"/>
  <c r="AS358"/>
  <c r="AR358"/>
  <c r="AQ358"/>
  <c r="AL358"/>
  <c r="AJ358"/>
  <c r="AJ363"/>
  <c r="AI358"/>
  <c r="AG358"/>
  <c r="AE358"/>
  <c r="AF358"/>
  <c r="AC358"/>
  <c r="Z358"/>
  <c r="AB358"/>
  <c r="P358"/>
  <c r="R358"/>
  <c r="AK358"/>
  <c r="AS357"/>
  <c r="AR357"/>
  <c r="AQ357"/>
  <c r="AJ357"/>
  <c r="AI357"/>
  <c r="AG357"/>
  <c r="AE357"/>
  <c r="P357"/>
  <c r="AV355"/>
  <c r="AA355"/>
  <c r="T355"/>
  <c r="S355"/>
  <c r="G355"/>
  <c r="AS354"/>
  <c r="AR354"/>
  <c r="AQ354"/>
  <c r="AJ354"/>
  <c r="AI354"/>
  <c r="AG354"/>
  <c r="AE354"/>
  <c r="P354"/>
  <c r="R354"/>
  <c r="Z354"/>
  <c r="AS353"/>
  <c r="AS355"/>
  <c r="AR353"/>
  <c r="AQ353"/>
  <c r="AJ353"/>
  <c r="AJ355"/>
  <c r="AI353"/>
  <c r="AI355"/>
  <c r="AI367"/>
  <c r="AG353"/>
  <c r="AG355"/>
  <c r="AE353"/>
  <c r="I353"/>
  <c r="I355"/>
  <c r="I367"/>
  <c r="AV348"/>
  <c r="AV429"/>
  <c r="AA348"/>
  <c r="T348"/>
  <c r="T429"/>
  <c r="S348"/>
  <c r="S429"/>
  <c r="G348"/>
  <c r="AS347"/>
  <c r="AS348"/>
  <c r="AS429"/>
  <c r="AR347"/>
  <c r="AR348"/>
  <c r="AR429"/>
  <c r="AQ347"/>
  <c r="AQ348"/>
  <c r="AQ429"/>
  <c r="AJ347"/>
  <c r="AJ348"/>
  <c r="AJ429"/>
  <c r="AI347"/>
  <c r="AI348"/>
  <c r="AI429"/>
  <c r="AG347"/>
  <c r="AG348"/>
  <c r="AG429"/>
  <c r="AE347"/>
  <c r="AE348"/>
  <c r="AE429"/>
  <c r="R347"/>
  <c r="AW347"/>
  <c r="AV343"/>
  <c r="T343"/>
  <c r="S343"/>
  <c r="G343"/>
  <c r="AP342"/>
  <c r="AO342"/>
  <c r="AJ342"/>
  <c r="AI342"/>
  <c r="AG342"/>
  <c r="R342"/>
  <c r="AL342"/>
  <c r="AP341"/>
  <c r="AO341"/>
  <c r="AJ341"/>
  <c r="AI341"/>
  <c r="AM341"/>
  <c r="AG341"/>
  <c r="AH341"/>
  <c r="AA341"/>
  <c r="AQ341"/>
  <c r="R341"/>
  <c r="AK341"/>
  <c r="AT341"/>
  <c r="AP340"/>
  <c r="AO340"/>
  <c r="AJ340"/>
  <c r="AI340"/>
  <c r="AG340"/>
  <c r="R340"/>
  <c r="AK340"/>
  <c r="AP339"/>
  <c r="AO339"/>
  <c r="AJ339"/>
  <c r="AJ343"/>
  <c r="AI339"/>
  <c r="AG339"/>
  <c r="R339"/>
  <c r="W339"/>
  <c r="AS338"/>
  <c r="AP338"/>
  <c r="AO338"/>
  <c r="AJ338"/>
  <c r="AI338"/>
  <c r="AI343"/>
  <c r="AG338"/>
  <c r="R338"/>
  <c r="W338"/>
  <c r="AR338"/>
  <c r="AV336"/>
  <c r="T336"/>
  <c r="S336"/>
  <c r="G336"/>
  <c r="AS335"/>
  <c r="AR335"/>
  <c r="AQ335"/>
  <c r="AK335"/>
  <c r="AJ335"/>
  <c r="AJ336"/>
  <c r="AI335"/>
  <c r="AG335"/>
  <c r="AE335"/>
  <c r="Z335"/>
  <c r="AO335"/>
  <c r="R335"/>
  <c r="AU334"/>
  <c r="AS334"/>
  <c r="AR334"/>
  <c r="AQ334"/>
  <c r="AK334"/>
  <c r="AT334"/>
  <c r="AJ334"/>
  <c r="AI334"/>
  <c r="AG334"/>
  <c r="AE334"/>
  <c r="Z334"/>
  <c r="R334"/>
  <c r="AL334"/>
  <c r="AS333"/>
  <c r="AR333"/>
  <c r="AJ333"/>
  <c r="AI333"/>
  <c r="AG333"/>
  <c r="AE333"/>
  <c r="R333"/>
  <c r="AS332"/>
  <c r="AR332"/>
  <c r="AQ332"/>
  <c r="AJ332"/>
  <c r="AI332"/>
  <c r="AG332"/>
  <c r="AE332"/>
  <c r="R332"/>
  <c r="AW332"/>
  <c r="AY332"/>
  <c r="AS331"/>
  <c r="AR331"/>
  <c r="AJ331"/>
  <c r="AI331"/>
  <c r="AG331"/>
  <c r="AE331"/>
  <c r="Z331"/>
  <c r="R331"/>
  <c r="AS330"/>
  <c r="AR330"/>
  <c r="AQ330"/>
  <c r="AJ330"/>
  <c r="AI330"/>
  <c r="AI336"/>
  <c r="AG330"/>
  <c r="AG336"/>
  <c r="AE330"/>
  <c r="R330"/>
  <c r="AK330"/>
  <c r="I330"/>
  <c r="I336"/>
  <c r="I344"/>
  <c r="I349"/>
  <c r="AV328"/>
  <c r="T328"/>
  <c r="S328"/>
  <c r="G328"/>
  <c r="AS327"/>
  <c r="AR327"/>
  <c r="AJ327"/>
  <c r="AI327"/>
  <c r="AG327"/>
  <c r="AE327"/>
  <c r="Z327"/>
  <c r="R327"/>
  <c r="AS326"/>
  <c r="AR326"/>
  <c r="AJ326"/>
  <c r="AI326"/>
  <c r="AG326"/>
  <c r="AE326"/>
  <c r="R326"/>
  <c r="AS325"/>
  <c r="AR325"/>
  <c r="AK325"/>
  <c r="AJ325"/>
  <c r="AI325"/>
  <c r="AG325"/>
  <c r="AE325"/>
  <c r="R325"/>
  <c r="AY325"/>
  <c r="AU324"/>
  <c r="AS324"/>
  <c r="AR324"/>
  <c r="AQ324"/>
  <c r="AP324"/>
  <c r="AO324"/>
  <c r="AL324"/>
  <c r="AK324"/>
  <c r="AJ324"/>
  <c r="AN324"/>
  <c r="AI324"/>
  <c r="AS323"/>
  <c r="AR323"/>
  <c r="AQ323"/>
  <c r="AP323"/>
  <c r="AO323"/>
  <c r="AL323"/>
  <c r="AK323"/>
  <c r="AM323"/>
  <c r="AJ323"/>
  <c r="AI323"/>
  <c r="AU322"/>
  <c r="AT322"/>
  <c r="AV320"/>
  <c r="T320"/>
  <c r="S320"/>
  <c r="G320"/>
  <c r="AP319"/>
  <c r="AO319"/>
  <c r="AJ319"/>
  <c r="AI319"/>
  <c r="AG319"/>
  <c r="AH319"/>
  <c r="AA319"/>
  <c r="AQ319"/>
  <c r="R319"/>
  <c r="AW319"/>
  <c r="AY319"/>
  <c r="P319"/>
  <c r="AP318"/>
  <c r="AO318"/>
  <c r="AJ318"/>
  <c r="AI318"/>
  <c r="AG318"/>
  <c r="P318"/>
  <c r="R318"/>
  <c r="AP317"/>
  <c r="AO317"/>
  <c r="AJ317"/>
  <c r="AI317"/>
  <c r="AI320"/>
  <c r="AG317"/>
  <c r="P317"/>
  <c r="R317"/>
  <c r="AP316"/>
  <c r="AO316"/>
  <c r="AJ316"/>
  <c r="AI316"/>
  <c r="AG316"/>
  <c r="P316"/>
  <c r="R316"/>
  <c r="W316"/>
  <c r="AR316"/>
  <c r="AP315"/>
  <c r="AO315"/>
  <c r="AJ315"/>
  <c r="AI315"/>
  <c r="AG315"/>
  <c r="R315"/>
  <c r="AW315"/>
  <c r="AY315"/>
  <c r="P315"/>
  <c r="AV313"/>
  <c r="AA313"/>
  <c r="T313"/>
  <c r="S313"/>
  <c r="G313"/>
  <c r="AS312"/>
  <c r="AR312"/>
  <c r="AQ312"/>
  <c r="AJ312"/>
  <c r="AI312"/>
  <c r="AG312"/>
  <c r="AE312"/>
  <c r="P312"/>
  <c r="R312"/>
  <c r="AW312"/>
  <c r="AY312"/>
  <c r="AS311"/>
  <c r="AR311"/>
  <c r="AQ311"/>
  <c r="AJ311"/>
  <c r="AI311"/>
  <c r="AG311"/>
  <c r="AE311"/>
  <c r="R311"/>
  <c r="Z311"/>
  <c r="AP311"/>
  <c r="P311"/>
  <c r="AS310"/>
  <c r="AR310"/>
  <c r="AQ310"/>
  <c r="AJ310"/>
  <c r="AI310"/>
  <c r="AG310"/>
  <c r="AE310"/>
  <c r="P310"/>
  <c r="R310"/>
  <c r="AS309"/>
  <c r="AR309"/>
  <c r="AQ309"/>
  <c r="AJ309"/>
  <c r="AI309"/>
  <c r="AG309"/>
  <c r="AE309"/>
  <c r="P309"/>
  <c r="R309"/>
  <c r="AS308"/>
  <c r="AR308"/>
  <c r="AQ308"/>
  <c r="AJ308"/>
  <c r="AI308"/>
  <c r="AG308"/>
  <c r="AE308"/>
  <c r="R308"/>
  <c r="P308"/>
  <c r="AS307"/>
  <c r="AR307"/>
  <c r="AQ307"/>
  <c r="AJ307"/>
  <c r="AI307"/>
  <c r="AG307"/>
  <c r="AE307"/>
  <c r="R307"/>
  <c r="Z307"/>
  <c r="AO307"/>
  <c r="P307"/>
  <c r="AW306"/>
  <c r="AY306"/>
  <c r="AS306"/>
  <c r="AR306"/>
  <c r="AQ306"/>
  <c r="AJ306"/>
  <c r="AI306"/>
  <c r="AG306"/>
  <c r="AE306"/>
  <c r="Z306"/>
  <c r="P306"/>
  <c r="R306"/>
  <c r="AK306"/>
  <c r="AS305"/>
  <c r="AR305"/>
  <c r="AQ305"/>
  <c r="AJ305"/>
  <c r="AI305"/>
  <c r="AG305"/>
  <c r="AE305"/>
  <c r="P305"/>
  <c r="R305"/>
  <c r="AT304"/>
  <c r="AS304"/>
  <c r="AR304"/>
  <c r="AQ304"/>
  <c r="AJ304"/>
  <c r="AI304"/>
  <c r="AG304"/>
  <c r="AE304"/>
  <c r="P304"/>
  <c r="R304"/>
  <c r="AK304"/>
  <c r="AM304"/>
  <c r="AS303"/>
  <c r="AR303"/>
  <c r="AR313"/>
  <c r="AQ303"/>
  <c r="AK303"/>
  <c r="AJ303"/>
  <c r="AI303"/>
  <c r="AG303"/>
  <c r="AE303"/>
  <c r="P303"/>
  <c r="R303"/>
  <c r="AS302"/>
  <c r="AR302"/>
  <c r="AQ302"/>
  <c r="AJ302"/>
  <c r="AI302"/>
  <c r="AG302"/>
  <c r="AE302"/>
  <c r="P302"/>
  <c r="R302"/>
  <c r="AS301"/>
  <c r="AR301"/>
  <c r="AQ301"/>
  <c r="AJ301"/>
  <c r="AI301"/>
  <c r="AG301"/>
  <c r="AE301"/>
  <c r="I301"/>
  <c r="P301"/>
  <c r="AV299"/>
  <c r="AA299"/>
  <c r="T299"/>
  <c r="S299"/>
  <c r="S321"/>
  <c r="S427"/>
  <c r="G299"/>
  <c r="AS298"/>
  <c r="AR298"/>
  <c r="AQ298"/>
  <c r="AL298"/>
  <c r="AU298"/>
  <c r="AJ298"/>
  <c r="AI298"/>
  <c r="AG298"/>
  <c r="AE298"/>
  <c r="Z298"/>
  <c r="AO298"/>
  <c r="P298"/>
  <c r="R298"/>
  <c r="AK298"/>
  <c r="AW297"/>
  <c r="AY297"/>
  <c r="AS297"/>
  <c r="AR297"/>
  <c r="AQ297"/>
  <c r="AK297"/>
  <c r="AJ297"/>
  <c r="AI297"/>
  <c r="AG297"/>
  <c r="AE297"/>
  <c r="Z297"/>
  <c r="P297"/>
  <c r="R297"/>
  <c r="AG296"/>
  <c r="AE296"/>
  <c r="P296"/>
  <c r="R296"/>
  <c r="Z296"/>
  <c r="AS295"/>
  <c r="AR295"/>
  <c r="AQ295"/>
  <c r="AJ295"/>
  <c r="AI295"/>
  <c r="AG295"/>
  <c r="AE295"/>
  <c r="P295"/>
  <c r="R295"/>
  <c r="AL295"/>
  <c r="AS294"/>
  <c r="AR294"/>
  <c r="AQ294"/>
  <c r="AJ294"/>
  <c r="AI294"/>
  <c r="AG294"/>
  <c r="AE294"/>
  <c r="P294"/>
  <c r="R294"/>
  <c r="Z294"/>
  <c r="AS293"/>
  <c r="AR293"/>
  <c r="AQ293"/>
  <c r="AJ293"/>
  <c r="AI293"/>
  <c r="AG293"/>
  <c r="AE293"/>
  <c r="P293"/>
  <c r="R293"/>
  <c r="AS292"/>
  <c r="AR292"/>
  <c r="AQ292"/>
  <c r="AJ292"/>
  <c r="AI292"/>
  <c r="AG292"/>
  <c r="AE292"/>
  <c r="Z292"/>
  <c r="P292"/>
  <c r="R292"/>
  <c r="AS291"/>
  <c r="AR291"/>
  <c r="AQ291"/>
  <c r="AJ291"/>
  <c r="AI291"/>
  <c r="AG291"/>
  <c r="AE291"/>
  <c r="AE299"/>
  <c r="P291"/>
  <c r="K291"/>
  <c r="I291"/>
  <c r="Y288"/>
  <c r="X288"/>
  <c r="V288"/>
  <c r="U288"/>
  <c r="AV287"/>
  <c r="T287"/>
  <c r="S287"/>
  <c r="G287"/>
  <c r="AW286"/>
  <c r="AY286"/>
  <c r="AP286"/>
  <c r="AO286"/>
  <c r="AM286"/>
  <c r="AL286"/>
  <c r="AJ286"/>
  <c r="AI286"/>
  <c r="AH286"/>
  <c r="AA286"/>
  <c r="AQ286"/>
  <c r="AG286"/>
  <c r="W286"/>
  <c r="AS286"/>
  <c r="R286"/>
  <c r="AK286"/>
  <c r="AT286"/>
  <c r="AP285"/>
  <c r="AO285"/>
  <c r="AO287"/>
  <c r="AJ285"/>
  <c r="AI285"/>
  <c r="AG285"/>
  <c r="R285"/>
  <c r="AP284"/>
  <c r="AO284"/>
  <c r="AJ284"/>
  <c r="AI284"/>
  <c r="AG284"/>
  <c r="R284"/>
  <c r="AL284"/>
  <c r="AU284"/>
  <c r="AP283"/>
  <c r="AO283"/>
  <c r="AJ283"/>
  <c r="AI283"/>
  <c r="AI287"/>
  <c r="AG283"/>
  <c r="R283"/>
  <c r="AL283"/>
  <c r="AV281"/>
  <c r="T281"/>
  <c r="S281"/>
  <c r="G281"/>
  <c r="AP280"/>
  <c r="AO280"/>
  <c r="AJ280"/>
  <c r="AI280"/>
  <c r="AG280"/>
  <c r="R280"/>
  <c r="AK280"/>
  <c r="AP279"/>
  <c r="AO279"/>
  <c r="AJ279"/>
  <c r="AI279"/>
  <c r="AG279"/>
  <c r="R279"/>
  <c r="AW279"/>
  <c r="AY279"/>
  <c r="AW277"/>
  <c r="AP277"/>
  <c r="AO277"/>
  <c r="AJ277"/>
  <c r="AI277"/>
  <c r="AH277"/>
  <c r="AA277"/>
  <c r="R277"/>
  <c r="W277"/>
  <c r="AS277"/>
  <c r="AP276"/>
  <c r="AO276"/>
  <c r="AJ276"/>
  <c r="AI276"/>
  <c r="AG276"/>
  <c r="R276"/>
  <c r="AK276"/>
  <c r="AP275"/>
  <c r="AO275"/>
  <c r="AL275"/>
  <c r="AJ275"/>
  <c r="AI275"/>
  <c r="AG275"/>
  <c r="AH275"/>
  <c r="W275"/>
  <c r="R275"/>
  <c r="AK275"/>
  <c r="AV273"/>
  <c r="T273"/>
  <c r="S273"/>
  <c r="G273"/>
  <c r="AS272"/>
  <c r="AR272"/>
  <c r="AQ272"/>
  <c r="AJ272"/>
  <c r="AI272"/>
  <c r="AG272"/>
  <c r="AE272"/>
  <c r="R272"/>
  <c r="AS271"/>
  <c r="AR271"/>
  <c r="AQ271"/>
  <c r="AJ271"/>
  <c r="AI271"/>
  <c r="AG271"/>
  <c r="AE271"/>
  <c r="R271"/>
  <c r="AS270"/>
  <c r="AR270"/>
  <c r="AQ270"/>
  <c r="AJ270"/>
  <c r="AI270"/>
  <c r="AG270"/>
  <c r="AE270"/>
  <c r="R270"/>
  <c r="AL270"/>
  <c r="AS269"/>
  <c r="AR269"/>
  <c r="AJ269"/>
  <c r="AI269"/>
  <c r="AG269"/>
  <c r="AE269"/>
  <c r="R269"/>
  <c r="AV267"/>
  <c r="AA267"/>
  <c r="T267"/>
  <c r="G267"/>
  <c r="AS266"/>
  <c r="AR266"/>
  <c r="AQ266"/>
  <c r="AJ266"/>
  <c r="AI266"/>
  <c r="AG266"/>
  <c r="AE266"/>
  <c r="R266"/>
  <c r="AW266"/>
  <c r="AY266"/>
  <c r="AS265"/>
  <c r="AR265"/>
  <c r="AQ265"/>
  <c r="AK265"/>
  <c r="AJ265"/>
  <c r="AI265"/>
  <c r="AG265"/>
  <c r="AE265"/>
  <c r="R265"/>
  <c r="Z265"/>
  <c r="AS264"/>
  <c r="AR264"/>
  <c r="AQ264"/>
  <c r="AJ264"/>
  <c r="AI264"/>
  <c r="AG264"/>
  <c r="AE264"/>
  <c r="Z264"/>
  <c r="R264"/>
  <c r="AK264"/>
  <c r="AS263"/>
  <c r="AR263"/>
  <c r="AQ263"/>
  <c r="AJ263"/>
  <c r="AI263"/>
  <c r="AG263"/>
  <c r="AE263"/>
  <c r="R263"/>
  <c r="AS262"/>
  <c r="AQ262"/>
  <c r="AJ262"/>
  <c r="S262"/>
  <c r="AR262"/>
  <c r="R262"/>
  <c r="AL262"/>
  <c r="AS261"/>
  <c r="AR261"/>
  <c r="AQ261"/>
  <c r="AJ261"/>
  <c r="AI261"/>
  <c r="AG261"/>
  <c r="AE261"/>
  <c r="R261"/>
  <c r="AK261"/>
  <c r="AT261"/>
  <c r="AS260"/>
  <c r="AR260"/>
  <c r="AQ260"/>
  <c r="AL260"/>
  <c r="AJ260"/>
  <c r="AI260"/>
  <c r="AG260"/>
  <c r="AE260"/>
  <c r="R260"/>
  <c r="Z260"/>
  <c r="I260"/>
  <c r="I267"/>
  <c r="AV258"/>
  <c r="AA258"/>
  <c r="T258"/>
  <c r="S258"/>
  <c r="I258"/>
  <c r="I288"/>
  <c r="G258"/>
  <c r="AS257"/>
  <c r="AR257"/>
  <c r="AQ257"/>
  <c r="AJ257"/>
  <c r="AI257"/>
  <c r="AG257"/>
  <c r="AE257"/>
  <c r="R257"/>
  <c r="K257"/>
  <c r="AS256"/>
  <c r="AR256"/>
  <c r="AQ256"/>
  <c r="AJ256"/>
  <c r="AI256"/>
  <c r="AG256"/>
  <c r="AE256"/>
  <c r="R256"/>
  <c r="K256"/>
  <c r="AS255"/>
  <c r="AR255"/>
  <c r="AQ255"/>
  <c r="AJ255"/>
  <c r="AI255"/>
  <c r="AG255"/>
  <c r="AE255"/>
  <c r="K255"/>
  <c r="R255"/>
  <c r="AS254"/>
  <c r="AR254"/>
  <c r="AQ254"/>
  <c r="AJ254"/>
  <c r="AI254"/>
  <c r="AG254"/>
  <c r="AE254"/>
  <c r="K254"/>
  <c r="R254"/>
  <c r="AS253"/>
  <c r="AR253"/>
  <c r="AQ253"/>
  <c r="AJ253"/>
  <c r="AI253"/>
  <c r="AG253"/>
  <c r="AE253"/>
  <c r="K253"/>
  <c r="R253"/>
  <c r="AS252"/>
  <c r="AR252"/>
  <c r="AQ252"/>
  <c r="AJ252"/>
  <c r="AI252"/>
  <c r="AG252"/>
  <c r="AE252"/>
  <c r="R252"/>
  <c r="AK252"/>
  <c r="K252"/>
  <c r="AS251"/>
  <c r="AR251"/>
  <c r="AQ251"/>
  <c r="AJ251"/>
  <c r="AI251"/>
  <c r="AE251"/>
  <c r="R251"/>
  <c r="AK251"/>
  <c r="K251"/>
  <c r="AS250"/>
  <c r="AR250"/>
  <c r="AQ250"/>
  <c r="AJ250"/>
  <c r="AI250"/>
  <c r="AG250"/>
  <c r="AE250"/>
  <c r="R250"/>
  <c r="K250"/>
  <c r="AS249"/>
  <c r="AR249"/>
  <c r="AQ249"/>
  <c r="AJ249"/>
  <c r="AI249"/>
  <c r="AG249"/>
  <c r="AE249"/>
  <c r="Z249"/>
  <c r="AB249"/>
  <c r="K249"/>
  <c r="R249"/>
  <c r="AL249"/>
  <c r="AU249"/>
  <c r="AS248"/>
  <c r="AR248"/>
  <c r="AQ248"/>
  <c r="AJ248"/>
  <c r="AI248"/>
  <c r="AG248"/>
  <c r="AE248"/>
  <c r="K248"/>
  <c r="R248"/>
  <c r="AW248"/>
  <c r="AY248"/>
  <c r="AS247"/>
  <c r="AR247"/>
  <c r="AQ247"/>
  <c r="AJ247"/>
  <c r="AI247"/>
  <c r="AG247"/>
  <c r="AE247"/>
  <c r="K247"/>
  <c r="R247"/>
  <c r="AS246"/>
  <c r="AR246"/>
  <c r="AQ246"/>
  <c r="AJ246"/>
  <c r="AI246"/>
  <c r="AG246"/>
  <c r="AE246"/>
  <c r="K246"/>
  <c r="R246"/>
  <c r="Z246"/>
  <c r="AS245"/>
  <c r="AS258"/>
  <c r="AR245"/>
  <c r="AQ245"/>
  <c r="AJ245"/>
  <c r="AI245"/>
  <c r="AG245"/>
  <c r="AE245"/>
  <c r="I245"/>
  <c r="K245"/>
  <c r="AV241"/>
  <c r="T241"/>
  <c r="S241"/>
  <c r="G241"/>
  <c r="AP240"/>
  <c r="AO240"/>
  <c r="AJ240"/>
  <c r="AI240"/>
  <c r="AG240"/>
  <c r="R240"/>
  <c r="AP239"/>
  <c r="AP241"/>
  <c r="AO239"/>
  <c r="AJ239"/>
  <c r="AJ241"/>
  <c r="AI239"/>
  <c r="AH239"/>
  <c r="AA239"/>
  <c r="AQ239"/>
  <c r="AG239"/>
  <c r="R239"/>
  <c r="AV237"/>
  <c r="T237"/>
  <c r="G237"/>
  <c r="AS236"/>
  <c r="AR236"/>
  <c r="AQ236"/>
  <c r="AK236"/>
  <c r="AJ236"/>
  <c r="AI236"/>
  <c r="AG236"/>
  <c r="AE236"/>
  <c r="AB236"/>
  <c r="R236"/>
  <c r="Z236"/>
  <c r="AP236"/>
  <c r="AW235"/>
  <c r="AY235"/>
  <c r="AS235"/>
  <c r="AR235"/>
  <c r="AQ235"/>
  <c r="AO235"/>
  <c r="AK235"/>
  <c r="AJ235"/>
  <c r="AI235"/>
  <c r="AG235"/>
  <c r="AH235"/>
  <c r="AE235"/>
  <c r="AB235"/>
  <c r="R235"/>
  <c r="Z235"/>
  <c r="AP235"/>
  <c r="AS234"/>
  <c r="AR234"/>
  <c r="AJ234"/>
  <c r="AI234"/>
  <c r="AG234"/>
  <c r="AE234"/>
  <c r="R234"/>
  <c r="AS233"/>
  <c r="AR233"/>
  <c r="AQ233"/>
  <c r="AL233"/>
  <c r="AJ233"/>
  <c r="AI233"/>
  <c r="AG233"/>
  <c r="AE233"/>
  <c r="R233"/>
  <c r="AS232"/>
  <c r="AQ232"/>
  <c r="AJ232"/>
  <c r="S232"/>
  <c r="AG232"/>
  <c r="R232"/>
  <c r="AS231"/>
  <c r="AR231"/>
  <c r="AQ231"/>
  <c r="AJ231"/>
  <c r="AI231"/>
  <c r="AG231"/>
  <c r="AE231"/>
  <c r="I231"/>
  <c r="AV229"/>
  <c r="AA229"/>
  <c r="T229"/>
  <c r="T242"/>
  <c r="T425"/>
  <c r="S229"/>
  <c r="I229"/>
  <c r="G229"/>
  <c r="AS228"/>
  <c r="AR228"/>
  <c r="AQ228"/>
  <c r="AJ228"/>
  <c r="AI228"/>
  <c r="AG228"/>
  <c r="AE228"/>
  <c r="R228"/>
  <c r="AS227"/>
  <c r="AR227"/>
  <c r="AR229"/>
  <c r="AQ227"/>
  <c r="AK227"/>
  <c r="AJ227"/>
  <c r="AJ229"/>
  <c r="AI227"/>
  <c r="AI229"/>
  <c r="AG227"/>
  <c r="AE227"/>
  <c r="AE229"/>
  <c r="R227"/>
  <c r="AS226"/>
  <c r="AR226"/>
  <c r="AQ226"/>
  <c r="AP226"/>
  <c r="AO226"/>
  <c r="AL226"/>
  <c r="AK226"/>
  <c r="AT226"/>
  <c r="AJ226"/>
  <c r="AI226"/>
  <c r="AS225"/>
  <c r="AR225"/>
  <c r="AQ225"/>
  <c r="AP225"/>
  <c r="AO225"/>
  <c r="AL225"/>
  <c r="AU225"/>
  <c r="AK225"/>
  <c r="AT225"/>
  <c r="AJ225"/>
  <c r="AI225"/>
  <c r="AM225"/>
  <c r="AV223"/>
  <c r="T223"/>
  <c r="S223"/>
  <c r="G223"/>
  <c r="AW222"/>
  <c r="AY222"/>
  <c r="AP222"/>
  <c r="AO222"/>
  <c r="AJ222"/>
  <c r="AI222"/>
  <c r="AG222"/>
  <c r="R222"/>
  <c r="AL222"/>
  <c r="AU222"/>
  <c r="AP221"/>
  <c r="AO221"/>
  <c r="AJ221"/>
  <c r="AI221"/>
  <c r="AG221"/>
  <c r="R221"/>
  <c r="AP220"/>
  <c r="AO220"/>
  <c r="AJ220"/>
  <c r="AI220"/>
  <c r="AG220"/>
  <c r="AH220"/>
  <c r="AA220"/>
  <c r="AQ220"/>
  <c r="R220"/>
  <c r="AL220"/>
  <c r="AP219"/>
  <c r="AO219"/>
  <c r="AL219"/>
  <c r="AN219"/>
  <c r="AJ219"/>
  <c r="AI219"/>
  <c r="AH219"/>
  <c r="AA219"/>
  <c r="AQ219"/>
  <c r="AG219"/>
  <c r="R219"/>
  <c r="AW218"/>
  <c r="AY218"/>
  <c r="AR218"/>
  <c r="AP218"/>
  <c r="AO218"/>
  <c r="AJ218"/>
  <c r="AI218"/>
  <c r="AG218"/>
  <c r="R218"/>
  <c r="W218"/>
  <c r="AV216"/>
  <c r="T216"/>
  <c r="S216"/>
  <c r="G216"/>
  <c r="AS215"/>
  <c r="AR215"/>
  <c r="AQ215"/>
  <c r="AJ215"/>
  <c r="AI215"/>
  <c r="AG215"/>
  <c r="AE215"/>
  <c r="R215"/>
  <c r="AL215"/>
  <c r="AS214"/>
  <c r="AR214"/>
  <c r="AQ214"/>
  <c r="AJ214"/>
  <c r="AI214"/>
  <c r="AG214"/>
  <c r="AE214"/>
  <c r="R214"/>
  <c r="AL214"/>
  <c r="AS213"/>
  <c r="AR213"/>
  <c r="AQ213"/>
  <c r="AJ213"/>
  <c r="AI213"/>
  <c r="AG213"/>
  <c r="AE213"/>
  <c r="R213"/>
  <c r="AL213"/>
  <c r="AS212"/>
  <c r="AR212"/>
  <c r="AQ212"/>
  <c r="AJ212"/>
  <c r="AI212"/>
  <c r="AG212"/>
  <c r="AE212"/>
  <c r="R212"/>
  <c r="AL212"/>
  <c r="AS211"/>
  <c r="AR211"/>
  <c r="AQ211"/>
  <c r="AJ211"/>
  <c r="AI211"/>
  <c r="AG211"/>
  <c r="AE211"/>
  <c r="R211"/>
  <c r="AL211"/>
  <c r="AS210"/>
  <c r="AR210"/>
  <c r="AJ210"/>
  <c r="AI210"/>
  <c r="AG210"/>
  <c r="AE210"/>
  <c r="R210"/>
  <c r="AL210"/>
  <c r="AS209"/>
  <c r="AR209"/>
  <c r="AQ209"/>
  <c r="AJ209"/>
  <c r="AI209"/>
  <c r="AG209"/>
  <c r="AE209"/>
  <c r="I209"/>
  <c r="I216"/>
  <c r="AV207"/>
  <c r="AA207"/>
  <c r="T207"/>
  <c r="S207"/>
  <c r="S224"/>
  <c r="S424"/>
  <c r="G207"/>
  <c r="G224"/>
  <c r="AW206"/>
  <c r="AY206"/>
  <c r="AS206"/>
  <c r="AR206"/>
  <c r="AQ206"/>
  <c r="AJ206"/>
  <c r="AI206"/>
  <c r="AG206"/>
  <c r="AE206"/>
  <c r="R206"/>
  <c r="AS205"/>
  <c r="AS207"/>
  <c r="AR205"/>
  <c r="AQ205"/>
  <c r="AJ205"/>
  <c r="AI205"/>
  <c r="AI207"/>
  <c r="AG205"/>
  <c r="AG207"/>
  <c r="AE205"/>
  <c r="I205"/>
  <c r="I207"/>
  <c r="AS204"/>
  <c r="AR204"/>
  <c r="AQ204"/>
  <c r="AP204"/>
  <c r="AO204"/>
  <c r="AL204"/>
  <c r="AN204"/>
  <c r="AK204"/>
  <c r="AJ204"/>
  <c r="AI204"/>
  <c r="AS203"/>
  <c r="AR203"/>
  <c r="AQ203"/>
  <c r="AP203"/>
  <c r="AO203"/>
  <c r="AL203"/>
  <c r="AK203"/>
  <c r="AJ203"/>
  <c r="AN203"/>
  <c r="AI203"/>
  <c r="AV201"/>
  <c r="T201"/>
  <c r="S201"/>
  <c r="G201"/>
  <c r="AP200"/>
  <c r="AO200"/>
  <c r="AJ200"/>
  <c r="AI200"/>
  <c r="AG200"/>
  <c r="R200"/>
  <c r="AW200"/>
  <c r="AY200"/>
  <c r="AP199"/>
  <c r="AO199"/>
  <c r="AJ199"/>
  <c r="AI199"/>
  <c r="AG199"/>
  <c r="R199"/>
  <c r="AL199"/>
  <c r="AP198"/>
  <c r="AP201"/>
  <c r="AO198"/>
  <c r="AJ198"/>
  <c r="AI198"/>
  <c r="AG198"/>
  <c r="R198"/>
  <c r="AW197"/>
  <c r="AY197"/>
  <c r="AP197"/>
  <c r="AO197"/>
  <c r="AJ197"/>
  <c r="AN197"/>
  <c r="AI197"/>
  <c r="AG197"/>
  <c r="R197"/>
  <c r="AL197"/>
  <c r="AU197"/>
  <c r="AW196"/>
  <c r="AY196"/>
  <c r="AP196"/>
  <c r="AO196"/>
  <c r="AO201"/>
  <c r="AJ196"/>
  <c r="AI196"/>
  <c r="AG196"/>
  <c r="R196"/>
  <c r="AK196"/>
  <c r="AV194"/>
  <c r="T194"/>
  <c r="S194"/>
  <c r="G194"/>
  <c r="AS193"/>
  <c r="AR193"/>
  <c r="AQ193"/>
  <c r="AJ193"/>
  <c r="AI193"/>
  <c r="AG193"/>
  <c r="AE193"/>
  <c r="R193"/>
  <c r="Z193"/>
  <c r="AS192"/>
  <c r="AR192"/>
  <c r="AQ192"/>
  <c r="AJ192"/>
  <c r="AI192"/>
  <c r="AG192"/>
  <c r="AE192"/>
  <c r="R192"/>
  <c r="AS191"/>
  <c r="AR191"/>
  <c r="AQ191"/>
  <c r="AJ191"/>
  <c r="AI191"/>
  <c r="AG191"/>
  <c r="AE191"/>
  <c r="R191"/>
  <c r="AS190"/>
  <c r="AR190"/>
  <c r="AJ190"/>
  <c r="AI190"/>
  <c r="AG190"/>
  <c r="AE190"/>
  <c r="R190"/>
  <c r="AS189"/>
  <c r="AR189"/>
  <c r="AJ189"/>
  <c r="AI189"/>
  <c r="AG189"/>
  <c r="AE189"/>
  <c r="R189"/>
  <c r="AS188"/>
  <c r="AR188"/>
  <c r="AJ188"/>
  <c r="AI188"/>
  <c r="AG188"/>
  <c r="AE188"/>
  <c r="R188"/>
  <c r="AW188"/>
  <c r="AY188"/>
  <c r="AS187"/>
  <c r="AR187"/>
  <c r="AQ187"/>
  <c r="AJ187"/>
  <c r="AI187"/>
  <c r="AG187"/>
  <c r="AE187"/>
  <c r="I187"/>
  <c r="AV185"/>
  <c r="AV202"/>
  <c r="AV423"/>
  <c r="AA185"/>
  <c r="T185"/>
  <c r="S185"/>
  <c r="S202"/>
  <c r="S423"/>
  <c r="G185"/>
  <c r="AS184"/>
  <c r="AR184"/>
  <c r="AQ184"/>
  <c r="AJ184"/>
  <c r="AI184"/>
  <c r="AG184"/>
  <c r="AE184"/>
  <c r="R184"/>
  <c r="Z184"/>
  <c r="AO184"/>
  <c r="AS183"/>
  <c r="AS185"/>
  <c r="AR183"/>
  <c r="AQ183"/>
  <c r="AP183"/>
  <c r="AJ183"/>
  <c r="AJ185"/>
  <c r="AI183"/>
  <c r="AI185"/>
  <c r="AG183"/>
  <c r="AE183"/>
  <c r="AE185"/>
  <c r="Z183"/>
  <c r="R183"/>
  <c r="I183"/>
  <c r="AS182"/>
  <c r="AR182"/>
  <c r="AQ182"/>
  <c r="AP182"/>
  <c r="AO182"/>
  <c r="AL182"/>
  <c r="AK182"/>
  <c r="AJ182"/>
  <c r="AI182"/>
  <c r="AS181"/>
  <c r="AR181"/>
  <c r="AQ181"/>
  <c r="AP181"/>
  <c r="AO181"/>
  <c r="AL181"/>
  <c r="AK181"/>
  <c r="AJ181"/>
  <c r="AN181"/>
  <c r="AI181"/>
  <c r="AM181"/>
  <c r="AV179"/>
  <c r="Z179"/>
  <c r="U179"/>
  <c r="T179"/>
  <c r="S179"/>
  <c r="G179"/>
  <c r="AP178"/>
  <c r="AO178"/>
  <c r="AL178"/>
  <c r="AJ178"/>
  <c r="AI178"/>
  <c r="AG178"/>
  <c r="AH178"/>
  <c r="AA178"/>
  <c r="AQ178"/>
  <c r="W178"/>
  <c r="P178"/>
  <c r="R178"/>
  <c r="AW177"/>
  <c r="AY177"/>
  <c r="AP177"/>
  <c r="AO177"/>
  <c r="AJ177"/>
  <c r="AI177"/>
  <c r="AG177"/>
  <c r="R177"/>
  <c r="AK177"/>
  <c r="P177"/>
  <c r="AP176"/>
  <c r="AO176"/>
  <c r="AJ176"/>
  <c r="AI176"/>
  <c r="AG176"/>
  <c r="AH176"/>
  <c r="AA176"/>
  <c r="AQ176"/>
  <c r="P176"/>
  <c r="R176"/>
  <c r="AP175"/>
  <c r="AO175"/>
  <c r="AJ175"/>
  <c r="AI175"/>
  <c r="AG175"/>
  <c r="AG179"/>
  <c r="P175"/>
  <c r="R175"/>
  <c r="AP174"/>
  <c r="AO174"/>
  <c r="AJ174"/>
  <c r="AI174"/>
  <c r="AG174"/>
  <c r="R174"/>
  <c r="R179"/>
  <c r="P174"/>
  <c r="P179"/>
  <c r="AV172"/>
  <c r="AA172"/>
  <c r="T172"/>
  <c r="S172"/>
  <c r="Q172"/>
  <c r="I172"/>
  <c r="G172"/>
  <c r="AW171"/>
  <c r="AY171"/>
  <c r="AS171"/>
  <c r="AR171"/>
  <c r="AQ171"/>
  <c r="AJ171"/>
  <c r="AI171"/>
  <c r="AG171"/>
  <c r="AE171"/>
  <c r="Z171"/>
  <c r="P171"/>
  <c r="R171"/>
  <c r="AS170"/>
  <c r="AR170"/>
  <c r="AQ170"/>
  <c r="AJ170"/>
  <c r="AI170"/>
  <c r="AG170"/>
  <c r="AE170"/>
  <c r="P170"/>
  <c r="R170"/>
  <c r="AS169"/>
  <c r="AR169"/>
  <c r="AQ169"/>
  <c r="AJ169"/>
  <c r="AI169"/>
  <c r="AG169"/>
  <c r="AE169"/>
  <c r="P169"/>
  <c r="R169"/>
  <c r="AW169"/>
  <c r="AY169"/>
  <c r="AS168"/>
  <c r="AR168"/>
  <c r="AQ168"/>
  <c r="AJ168"/>
  <c r="AI168"/>
  <c r="AG168"/>
  <c r="AE168"/>
  <c r="P168"/>
  <c r="R168"/>
  <c r="AS167"/>
  <c r="AR167"/>
  <c r="AQ167"/>
  <c r="AJ167"/>
  <c r="AI167"/>
  <c r="AG167"/>
  <c r="AE167"/>
  <c r="P167"/>
  <c r="R167"/>
  <c r="Z167"/>
  <c r="AP167"/>
  <c r="AS166"/>
  <c r="AR166"/>
  <c r="AQ166"/>
  <c r="AJ166"/>
  <c r="AI166"/>
  <c r="AI172"/>
  <c r="AG166"/>
  <c r="AE166"/>
  <c r="P166"/>
  <c r="R166"/>
  <c r="AW166"/>
  <c r="AV164"/>
  <c r="AV180"/>
  <c r="AV422"/>
  <c r="AA164"/>
  <c r="T164"/>
  <c r="S164"/>
  <c r="S180"/>
  <c r="S422"/>
  <c r="K164"/>
  <c r="J164"/>
  <c r="I164"/>
  <c r="G164"/>
  <c r="AS163"/>
  <c r="AS164"/>
  <c r="AR163"/>
  <c r="AR164"/>
  <c r="AQ163"/>
  <c r="AQ164"/>
  <c r="AJ163"/>
  <c r="AJ164"/>
  <c r="AI163"/>
  <c r="AI164"/>
  <c r="AG163"/>
  <c r="AG164"/>
  <c r="AE163"/>
  <c r="AE164"/>
  <c r="P163"/>
  <c r="AS162"/>
  <c r="AR162"/>
  <c r="AQ162"/>
  <c r="AP162"/>
  <c r="AO162"/>
  <c r="AL162"/>
  <c r="AK162"/>
  <c r="AM162"/>
  <c r="AJ162"/>
  <c r="AI162"/>
  <c r="AS161"/>
  <c r="AR161"/>
  <c r="AQ161"/>
  <c r="AP161"/>
  <c r="AO161"/>
  <c r="AL161"/>
  <c r="AK161"/>
  <c r="AT161"/>
  <c r="AJ161"/>
  <c r="AI161"/>
  <c r="AM161"/>
  <c r="AV159"/>
  <c r="T159"/>
  <c r="S159"/>
  <c r="G159"/>
  <c r="AP158"/>
  <c r="AO158"/>
  <c r="AJ158"/>
  <c r="AI158"/>
  <c r="AG158"/>
  <c r="R158"/>
  <c r="AP157"/>
  <c r="AO157"/>
  <c r="AJ157"/>
  <c r="AI157"/>
  <c r="AG157"/>
  <c r="R157"/>
  <c r="AP156"/>
  <c r="AO156"/>
  <c r="AJ156"/>
  <c r="AI156"/>
  <c r="AG156"/>
  <c r="R156"/>
  <c r="AW155"/>
  <c r="AY155"/>
  <c r="AP155"/>
  <c r="AO155"/>
  <c r="AJ155"/>
  <c r="AI155"/>
  <c r="AG155"/>
  <c r="R155"/>
  <c r="AL155"/>
  <c r="AP154"/>
  <c r="AP159"/>
  <c r="AO154"/>
  <c r="AJ154"/>
  <c r="AI154"/>
  <c r="AG154"/>
  <c r="R154"/>
  <c r="AW154"/>
  <c r="AY154"/>
  <c r="AV152"/>
  <c r="T152"/>
  <c r="S152"/>
  <c r="G152"/>
  <c r="AS151"/>
  <c r="AR151"/>
  <c r="AQ151"/>
  <c r="AJ151"/>
  <c r="AI151"/>
  <c r="AG151"/>
  <c r="AE151"/>
  <c r="R151"/>
  <c r="AL151"/>
  <c r="AS150"/>
  <c r="AR150"/>
  <c r="AQ150"/>
  <c r="AJ150"/>
  <c r="AI150"/>
  <c r="AG150"/>
  <c r="AE150"/>
  <c r="R150"/>
  <c r="AS149"/>
  <c r="AR149"/>
  <c r="AQ149"/>
  <c r="AK149"/>
  <c r="AJ149"/>
  <c r="AI149"/>
  <c r="AG149"/>
  <c r="AE149"/>
  <c r="R149"/>
  <c r="AL149"/>
  <c r="AU149"/>
  <c r="AS148"/>
  <c r="AR148"/>
  <c r="AQ148"/>
  <c r="AJ148"/>
  <c r="AI148"/>
  <c r="AG148"/>
  <c r="AE148"/>
  <c r="R148"/>
  <c r="AS147"/>
  <c r="AR147"/>
  <c r="AQ147"/>
  <c r="AJ147"/>
  <c r="AI147"/>
  <c r="AG147"/>
  <c r="AE147"/>
  <c r="R147"/>
  <c r="AL147"/>
  <c r="AS146"/>
  <c r="AR146"/>
  <c r="AQ146"/>
  <c r="AJ146"/>
  <c r="AI146"/>
  <c r="AG146"/>
  <c r="AE146"/>
  <c r="R146"/>
  <c r="AS145"/>
  <c r="AR145"/>
  <c r="AJ145"/>
  <c r="AI145"/>
  <c r="AG145"/>
  <c r="AE145"/>
  <c r="R145"/>
  <c r="AS144"/>
  <c r="AR144"/>
  <c r="AQ144"/>
  <c r="AJ144"/>
  <c r="AI144"/>
  <c r="AG144"/>
  <c r="AE144"/>
  <c r="R144"/>
  <c r="AW144"/>
  <c r="AY144"/>
  <c r="AS143"/>
  <c r="AR143"/>
  <c r="AQ143"/>
  <c r="AJ143"/>
  <c r="AI143"/>
  <c r="AG143"/>
  <c r="AE143"/>
  <c r="R143"/>
  <c r="AS142"/>
  <c r="AR142"/>
  <c r="AQ142"/>
  <c r="AJ142"/>
  <c r="AI142"/>
  <c r="AG142"/>
  <c r="AE142"/>
  <c r="R142"/>
  <c r="I142"/>
  <c r="I152"/>
  <c r="AV140"/>
  <c r="AV160"/>
  <c r="AA140"/>
  <c r="T140"/>
  <c r="S140"/>
  <c r="I140"/>
  <c r="I160"/>
  <c r="G140"/>
  <c r="AS139"/>
  <c r="AR139"/>
  <c r="AQ139"/>
  <c r="AJ139"/>
  <c r="AI139"/>
  <c r="AG139"/>
  <c r="AE139"/>
  <c r="P139"/>
  <c r="R139"/>
  <c r="Z139"/>
  <c r="AS138"/>
  <c r="AR138"/>
  <c r="AQ138"/>
  <c r="AJ138"/>
  <c r="AI138"/>
  <c r="AG138"/>
  <c r="AE138"/>
  <c r="R138"/>
  <c r="P138"/>
  <c r="AS137"/>
  <c r="AR137"/>
  <c r="AQ137"/>
  <c r="AJ137"/>
  <c r="AI137"/>
  <c r="AG137"/>
  <c r="AE137"/>
  <c r="K137"/>
  <c r="R137"/>
  <c r="AW137"/>
  <c r="AY137"/>
  <c r="AS136"/>
  <c r="AR136"/>
  <c r="AQ136"/>
  <c r="AJ136"/>
  <c r="AI136"/>
  <c r="AG136"/>
  <c r="AE136"/>
  <c r="K136"/>
  <c r="R136"/>
  <c r="AW136"/>
  <c r="AY136"/>
  <c r="AS135"/>
  <c r="AR135"/>
  <c r="AQ135"/>
  <c r="AJ135"/>
  <c r="AI135"/>
  <c r="AG135"/>
  <c r="AE135"/>
  <c r="K135"/>
  <c r="R135"/>
  <c r="AS134"/>
  <c r="AR134"/>
  <c r="AQ134"/>
  <c r="AJ134"/>
  <c r="AI134"/>
  <c r="AG134"/>
  <c r="AE134"/>
  <c r="K134"/>
  <c r="R134"/>
  <c r="AS133"/>
  <c r="AR133"/>
  <c r="AQ133"/>
  <c r="AJ133"/>
  <c r="AI133"/>
  <c r="AG133"/>
  <c r="AE133"/>
  <c r="R133"/>
  <c r="K133"/>
  <c r="AS132"/>
  <c r="AR132"/>
  <c r="AQ132"/>
  <c r="AJ132"/>
  <c r="AI132"/>
  <c r="AG132"/>
  <c r="AE132"/>
  <c r="K132"/>
  <c r="R132"/>
  <c r="AW132"/>
  <c r="AY132"/>
  <c r="AS131"/>
  <c r="AR131"/>
  <c r="AQ131"/>
  <c r="AJ131"/>
  <c r="AI131"/>
  <c r="AG131"/>
  <c r="AE131"/>
  <c r="K131"/>
  <c r="I131"/>
  <c r="AV126"/>
  <c r="T126"/>
  <c r="S126"/>
  <c r="G126"/>
  <c r="AS125"/>
  <c r="AR125"/>
  <c r="AQ125"/>
  <c r="AJ125"/>
  <c r="AI125"/>
  <c r="AG125"/>
  <c r="AE125"/>
  <c r="P125"/>
  <c r="R125"/>
  <c r="AL125"/>
  <c r="AN125"/>
  <c r="AS124"/>
  <c r="AR124"/>
  <c r="AJ124"/>
  <c r="AI124"/>
  <c r="AG124"/>
  <c r="AE124"/>
  <c r="R124"/>
  <c r="AK124"/>
  <c r="AS123"/>
  <c r="AR123"/>
  <c r="AQ123"/>
  <c r="AJ123"/>
  <c r="AI123"/>
  <c r="AG123"/>
  <c r="AE123"/>
  <c r="R123"/>
  <c r="AS122"/>
  <c r="AR122"/>
  <c r="AQ122"/>
  <c r="AK122"/>
  <c r="AJ122"/>
  <c r="AI122"/>
  <c r="AG122"/>
  <c r="AE122"/>
  <c r="R122"/>
  <c r="AW122"/>
  <c r="AY122"/>
  <c r="AS121"/>
  <c r="AR121"/>
  <c r="AQ121"/>
  <c r="AJ121"/>
  <c r="AI121"/>
  <c r="AG121"/>
  <c r="AE121"/>
  <c r="R121"/>
  <c r="AW121"/>
  <c r="AY121"/>
  <c r="AS120"/>
  <c r="AR120"/>
  <c r="AQ120"/>
  <c r="AJ120"/>
  <c r="AI120"/>
  <c r="AG120"/>
  <c r="AE120"/>
  <c r="R120"/>
  <c r="AS119"/>
  <c r="AR119"/>
  <c r="AQ119"/>
  <c r="AJ119"/>
  <c r="AI119"/>
  <c r="AG119"/>
  <c r="AE119"/>
  <c r="R119"/>
  <c r="AW119"/>
  <c r="AY119"/>
  <c r="AS118"/>
  <c r="AR118"/>
  <c r="AQ118"/>
  <c r="AJ118"/>
  <c r="AI118"/>
  <c r="AG118"/>
  <c r="AE118"/>
  <c r="R118"/>
  <c r="AW118"/>
  <c r="AY118"/>
  <c r="AS117"/>
  <c r="AR117"/>
  <c r="AJ117"/>
  <c r="AI117"/>
  <c r="AG117"/>
  <c r="AE117"/>
  <c r="R117"/>
  <c r="AK117"/>
  <c r="AS116"/>
  <c r="AR116"/>
  <c r="AJ116"/>
  <c r="AI116"/>
  <c r="AG116"/>
  <c r="AE116"/>
  <c r="R116"/>
  <c r="AK116"/>
  <c r="AM116"/>
  <c r="AS115"/>
  <c r="AR115"/>
  <c r="AJ115"/>
  <c r="AI115"/>
  <c r="AG115"/>
  <c r="AE115"/>
  <c r="R115"/>
  <c r="AV113"/>
  <c r="AV127"/>
  <c r="T113"/>
  <c r="S113"/>
  <c r="G113"/>
  <c r="G127"/>
  <c r="AW112"/>
  <c r="AY112"/>
  <c r="AJ112"/>
  <c r="AI112"/>
  <c r="AG112"/>
  <c r="AE112"/>
  <c r="Z112"/>
  <c r="AB112"/>
  <c r="R112"/>
  <c r="AS111"/>
  <c r="AR111"/>
  <c r="AQ111"/>
  <c r="AJ111"/>
  <c r="AI111"/>
  <c r="AG111"/>
  <c r="AE111"/>
  <c r="K111"/>
  <c r="R111"/>
  <c r="AW111"/>
  <c r="AY111"/>
  <c r="AS110"/>
  <c r="AR110"/>
  <c r="AQ110"/>
  <c r="AJ110"/>
  <c r="AI110"/>
  <c r="AG110"/>
  <c r="AH110"/>
  <c r="AE110"/>
  <c r="R110"/>
  <c r="AW110"/>
  <c r="AY110"/>
  <c r="AJ109"/>
  <c r="AG109"/>
  <c r="AE109"/>
  <c r="R109"/>
  <c r="AW109"/>
  <c r="AY109"/>
  <c r="AS108"/>
  <c r="AR108"/>
  <c r="AQ108"/>
  <c r="AJ108"/>
  <c r="AI108"/>
  <c r="AG108"/>
  <c r="AE108"/>
  <c r="R108"/>
  <c r="AI107"/>
  <c r="AG107"/>
  <c r="AE107"/>
  <c r="K107"/>
  <c r="R107"/>
  <c r="AS106"/>
  <c r="AR106"/>
  <c r="AQ106"/>
  <c r="AJ106"/>
  <c r="AI106"/>
  <c r="AG106"/>
  <c r="AE106"/>
  <c r="K106"/>
  <c r="R106"/>
  <c r="AL106"/>
  <c r="AS105"/>
  <c r="AR105"/>
  <c r="AQ105"/>
  <c r="AJ105"/>
  <c r="AI105"/>
  <c r="AG105"/>
  <c r="AE105"/>
  <c r="R105"/>
  <c r="AW105"/>
  <c r="AY105"/>
  <c r="AS104"/>
  <c r="AR104"/>
  <c r="AQ104"/>
  <c r="AJ104"/>
  <c r="AI104"/>
  <c r="AG104"/>
  <c r="AE104"/>
  <c r="P104"/>
  <c r="R104"/>
  <c r="Z104"/>
  <c r="AS103"/>
  <c r="AR103"/>
  <c r="AQ103"/>
  <c r="AJ103"/>
  <c r="AI103"/>
  <c r="AG103"/>
  <c r="AE103"/>
  <c r="P103"/>
  <c r="R103"/>
  <c r="AW103"/>
  <c r="AY103"/>
  <c r="AS102"/>
  <c r="AR102"/>
  <c r="AQ102"/>
  <c r="AJ102"/>
  <c r="AI102"/>
  <c r="AG102"/>
  <c r="AE102"/>
  <c r="R102"/>
  <c r="AW102"/>
  <c r="AY102"/>
  <c r="AS101"/>
  <c r="AR101"/>
  <c r="AQ101"/>
  <c r="AJ101"/>
  <c r="AI101"/>
  <c r="AG101"/>
  <c r="AE101"/>
  <c r="R101"/>
  <c r="AS100"/>
  <c r="AR100"/>
  <c r="AQ100"/>
  <c r="AK100"/>
  <c r="AJ100"/>
  <c r="AI100"/>
  <c r="P100"/>
  <c r="R100"/>
  <c r="AJ99"/>
  <c r="AI99"/>
  <c r="AG99"/>
  <c r="AE99"/>
  <c r="P99"/>
  <c r="R99"/>
  <c r="AK99"/>
  <c r="AS98"/>
  <c r="AR98"/>
  <c r="AQ98"/>
  <c r="AJ98"/>
  <c r="AI98"/>
  <c r="AG98"/>
  <c r="AE98"/>
  <c r="R98"/>
  <c r="AL98"/>
  <c r="P98"/>
  <c r="AS97"/>
  <c r="AR97"/>
  <c r="AQ97"/>
  <c r="AJ97"/>
  <c r="AI97"/>
  <c r="AG97"/>
  <c r="AE97"/>
  <c r="Z97"/>
  <c r="P97"/>
  <c r="R97"/>
  <c r="AS96"/>
  <c r="AR96"/>
  <c r="AQ96"/>
  <c r="AJ96"/>
  <c r="AI96"/>
  <c r="AG96"/>
  <c r="AE96"/>
  <c r="R96"/>
  <c r="AS95"/>
  <c r="AR95"/>
  <c r="AJ95"/>
  <c r="AI95"/>
  <c r="AG95"/>
  <c r="AH95"/>
  <c r="AA95"/>
  <c r="AQ95"/>
  <c r="AE95"/>
  <c r="R95"/>
  <c r="AK95"/>
  <c r="AS94"/>
  <c r="AR94"/>
  <c r="AJ94"/>
  <c r="AI94"/>
  <c r="AG94"/>
  <c r="AE94"/>
  <c r="R94"/>
  <c r="AK94"/>
  <c r="AS93"/>
  <c r="AR93"/>
  <c r="AQ93"/>
  <c r="AJ93"/>
  <c r="AI93"/>
  <c r="AG93"/>
  <c r="AE93"/>
  <c r="R93"/>
  <c r="AL93"/>
  <c r="P93"/>
  <c r="AS92"/>
  <c r="AR92"/>
  <c r="AQ92"/>
  <c r="AJ92"/>
  <c r="AI92"/>
  <c r="AG92"/>
  <c r="AE92"/>
  <c r="K92"/>
  <c r="R92"/>
  <c r="Z92"/>
  <c r="AS91"/>
  <c r="AR91"/>
  <c r="AQ91"/>
  <c r="AJ91"/>
  <c r="AI91"/>
  <c r="AG91"/>
  <c r="AE91"/>
  <c r="K91"/>
  <c r="R91"/>
  <c r="AW91"/>
  <c r="AY91"/>
  <c r="AS90"/>
  <c r="AR90"/>
  <c r="AQ90"/>
  <c r="AJ90"/>
  <c r="AI90"/>
  <c r="AG90"/>
  <c r="AE90"/>
  <c r="K90"/>
  <c r="R90"/>
  <c r="AK90"/>
  <c r="AV87"/>
  <c r="AV419"/>
  <c r="T87"/>
  <c r="G87"/>
  <c r="AS86"/>
  <c r="AR86"/>
  <c r="AP86"/>
  <c r="AO86"/>
  <c r="AJ86"/>
  <c r="AI86"/>
  <c r="AG86"/>
  <c r="R86"/>
  <c r="AL86"/>
  <c r="AS85"/>
  <c r="AR85"/>
  <c r="AP85"/>
  <c r="AO85"/>
  <c r="AJ85"/>
  <c r="AI85"/>
  <c r="AG85"/>
  <c r="R85"/>
  <c r="AS84"/>
  <c r="AR84"/>
  <c r="AP84"/>
  <c r="AO84"/>
  <c r="AJ84"/>
  <c r="AI84"/>
  <c r="AG84"/>
  <c r="R84"/>
  <c r="AL84"/>
  <c r="AS83"/>
  <c r="AR83"/>
  <c r="AP83"/>
  <c r="AO83"/>
  <c r="AJ83"/>
  <c r="AI83"/>
  <c r="AG83"/>
  <c r="R83"/>
  <c r="AS82"/>
  <c r="AR82"/>
  <c r="AP82"/>
  <c r="AO82"/>
  <c r="AJ82"/>
  <c r="AI82"/>
  <c r="AG82"/>
  <c r="R82"/>
  <c r="AS81"/>
  <c r="AR81"/>
  <c r="AP81"/>
  <c r="AO81"/>
  <c r="AJ81"/>
  <c r="AI81"/>
  <c r="AG81"/>
  <c r="R81"/>
  <c r="AL81"/>
  <c r="AS80"/>
  <c r="AR80"/>
  <c r="AP80"/>
  <c r="AO80"/>
  <c r="AJ80"/>
  <c r="AI80"/>
  <c r="AG80"/>
  <c r="R80"/>
  <c r="AS79"/>
  <c r="AR79"/>
  <c r="AP79"/>
  <c r="AO79"/>
  <c r="AJ79"/>
  <c r="AI79"/>
  <c r="AG79"/>
  <c r="R79"/>
  <c r="AL79"/>
  <c r="AS78"/>
  <c r="AR78"/>
  <c r="AP78"/>
  <c r="AO78"/>
  <c r="AJ78"/>
  <c r="AI78"/>
  <c r="AG78"/>
  <c r="R78"/>
  <c r="AS77"/>
  <c r="AR77"/>
  <c r="AP77"/>
  <c r="AO77"/>
  <c r="AJ77"/>
  <c r="AI77"/>
  <c r="AG77"/>
  <c r="R77"/>
  <c r="AL77"/>
  <c r="AS76"/>
  <c r="AR76"/>
  <c r="AP76"/>
  <c r="AO76"/>
  <c r="AJ76"/>
  <c r="AI76"/>
  <c r="AG76"/>
  <c r="R76"/>
  <c r="AL76"/>
  <c r="AL75"/>
  <c r="AS74"/>
  <c r="AR74"/>
  <c r="AP74"/>
  <c r="AO74"/>
  <c r="AJ74"/>
  <c r="AI74"/>
  <c r="AG74"/>
  <c r="R74"/>
  <c r="AL74"/>
  <c r="AS73"/>
  <c r="AR73"/>
  <c r="AP73"/>
  <c r="AO73"/>
  <c r="AJ73"/>
  <c r="AI73"/>
  <c r="AG73"/>
  <c r="R73"/>
  <c r="AP72"/>
  <c r="AO72"/>
  <c r="AJ72"/>
  <c r="AI72"/>
  <c r="AG72"/>
  <c r="R72"/>
  <c r="AL72"/>
  <c r="AP71"/>
  <c r="AO71"/>
  <c r="AJ71"/>
  <c r="AI71"/>
  <c r="AG71"/>
  <c r="R71"/>
  <c r="AK71"/>
  <c r="AP70"/>
  <c r="AO70"/>
  <c r="AJ70"/>
  <c r="AI70"/>
  <c r="AG70"/>
  <c r="R70"/>
  <c r="AK70"/>
  <c r="AP69"/>
  <c r="AO69"/>
  <c r="AJ69"/>
  <c r="AI69"/>
  <c r="AG69"/>
  <c r="R69"/>
  <c r="AH69"/>
  <c r="AA69"/>
  <c r="AQ69"/>
  <c r="AL68"/>
  <c r="AS67"/>
  <c r="AR67"/>
  <c r="AP67"/>
  <c r="AO67"/>
  <c r="AJ67"/>
  <c r="AI67"/>
  <c r="AG67"/>
  <c r="R67"/>
  <c r="AS66"/>
  <c r="AR66"/>
  <c r="AP66"/>
  <c r="AO66"/>
  <c r="AJ66"/>
  <c r="AI66"/>
  <c r="AG66"/>
  <c r="R66"/>
  <c r="AL66"/>
  <c r="AU66"/>
  <c r="AS65"/>
  <c r="AR65"/>
  <c r="AP65"/>
  <c r="AO65"/>
  <c r="AJ65"/>
  <c r="AI65"/>
  <c r="AG65"/>
  <c r="R65"/>
  <c r="AL65"/>
  <c r="AU65"/>
  <c r="AS64"/>
  <c r="AR64"/>
  <c r="AP64"/>
  <c r="AO64"/>
  <c r="AJ64"/>
  <c r="AI64"/>
  <c r="AG64"/>
  <c r="R64"/>
  <c r="AL64"/>
  <c r="AU64"/>
  <c r="AS63"/>
  <c r="AP63"/>
  <c r="AJ63"/>
  <c r="S63"/>
  <c r="AG63"/>
  <c r="R63"/>
  <c r="AS62"/>
  <c r="AR62"/>
  <c r="AP62"/>
  <c r="AO62"/>
  <c r="AJ62"/>
  <c r="AI62"/>
  <c r="AG62"/>
  <c r="AH62"/>
  <c r="AA62"/>
  <c r="AQ62"/>
  <c r="R62"/>
  <c r="AW62"/>
  <c r="AY62"/>
  <c r="AS61"/>
  <c r="AR61"/>
  <c r="AP61"/>
  <c r="AO61"/>
  <c r="AJ61"/>
  <c r="AI61"/>
  <c r="AH61"/>
  <c r="AA61"/>
  <c r="AQ61"/>
  <c r="AG61"/>
  <c r="R61"/>
  <c r="AL60"/>
  <c r="AS59"/>
  <c r="AR59"/>
  <c r="AP59"/>
  <c r="AO59"/>
  <c r="AJ59"/>
  <c r="AI59"/>
  <c r="AG59"/>
  <c r="R59"/>
  <c r="AL59"/>
  <c r="AS58"/>
  <c r="AR58"/>
  <c r="AP58"/>
  <c r="AO58"/>
  <c r="AJ58"/>
  <c r="AI58"/>
  <c r="AG58"/>
  <c r="R58"/>
  <c r="AL58"/>
  <c r="AW57"/>
  <c r="AY57"/>
  <c r="AP57"/>
  <c r="AO57"/>
  <c r="AJ57"/>
  <c r="AI57"/>
  <c r="AG57"/>
  <c r="R57"/>
  <c r="AL57"/>
  <c r="AW56"/>
  <c r="AY56"/>
  <c r="AP56"/>
  <c r="AO56"/>
  <c r="AJ56"/>
  <c r="AI56"/>
  <c r="AG56"/>
  <c r="AH56"/>
  <c r="AA56"/>
  <c r="AQ56"/>
  <c r="R56"/>
  <c r="AL56"/>
  <c r="AU56"/>
  <c r="AL55"/>
  <c r="AS54"/>
  <c r="AR54"/>
  <c r="AP54"/>
  <c r="AO54"/>
  <c r="AJ54"/>
  <c r="AI54"/>
  <c r="AG54"/>
  <c r="I54"/>
  <c r="R54"/>
  <c r="AS53"/>
  <c r="AR53"/>
  <c r="AP53"/>
  <c r="AO53"/>
  <c r="AJ53"/>
  <c r="AI53"/>
  <c r="AG53"/>
  <c r="I53"/>
  <c r="R53"/>
  <c r="AS52"/>
  <c r="AR52"/>
  <c r="AP52"/>
  <c r="AO52"/>
  <c r="AJ52"/>
  <c r="AI52"/>
  <c r="AG52"/>
  <c r="I52"/>
  <c r="R52"/>
  <c r="AS51"/>
  <c r="AR51"/>
  <c r="AP51"/>
  <c r="AO51"/>
  <c r="AJ51"/>
  <c r="AI51"/>
  <c r="AG51"/>
  <c r="I51"/>
  <c r="R51"/>
  <c r="AK51"/>
  <c r="AS50"/>
  <c r="AR50"/>
  <c r="AP50"/>
  <c r="AO50"/>
  <c r="AJ50"/>
  <c r="AI50"/>
  <c r="AG50"/>
  <c r="I50"/>
  <c r="R50"/>
  <c r="AH50"/>
  <c r="AA50"/>
  <c r="AQ50"/>
  <c r="AS49"/>
  <c r="AR49"/>
  <c r="AP49"/>
  <c r="AO49"/>
  <c r="AJ49"/>
  <c r="AI49"/>
  <c r="AG49"/>
  <c r="I49"/>
  <c r="R49"/>
  <c r="AL48"/>
  <c r="AS47"/>
  <c r="AR47"/>
  <c r="AP47"/>
  <c r="AO47"/>
  <c r="AJ47"/>
  <c r="AI47"/>
  <c r="AG47"/>
  <c r="R47"/>
  <c r="AH47"/>
  <c r="AA47"/>
  <c r="AQ47"/>
  <c r="AS46"/>
  <c r="AR46"/>
  <c r="AP46"/>
  <c r="AO46"/>
  <c r="AJ46"/>
  <c r="AI46"/>
  <c r="AG46"/>
  <c r="R46"/>
  <c r="AL46"/>
  <c r="AN46"/>
  <c r="B46"/>
  <c r="B47"/>
  <c r="B49"/>
  <c r="B50"/>
  <c r="B51"/>
  <c r="B52"/>
  <c r="B53"/>
  <c r="B54"/>
  <c r="B56"/>
  <c r="B57"/>
  <c r="B58"/>
  <c r="B59"/>
  <c r="B61"/>
  <c r="B62"/>
  <c r="B63"/>
  <c r="B64"/>
  <c r="B65"/>
  <c r="B66"/>
  <c r="B67"/>
  <c r="B69"/>
  <c r="B70"/>
  <c r="B71"/>
  <c r="B72"/>
  <c r="B73"/>
  <c r="B74"/>
  <c r="B76"/>
  <c r="B77"/>
  <c r="B78"/>
  <c r="B79"/>
  <c r="B80"/>
  <c r="B81"/>
  <c r="B82"/>
  <c r="B83"/>
  <c r="B84"/>
  <c r="B85"/>
  <c r="B86"/>
  <c r="B90"/>
  <c r="B91"/>
  <c r="B92"/>
  <c r="B93"/>
  <c r="B94"/>
  <c r="B95"/>
  <c r="B96"/>
  <c r="B97"/>
  <c r="B98"/>
  <c r="B99"/>
  <c r="B100"/>
  <c r="B101"/>
  <c r="AL45"/>
  <c r="AS44"/>
  <c r="AR44"/>
  <c r="AP44"/>
  <c r="AO44"/>
  <c r="AJ44"/>
  <c r="AI44"/>
  <c r="AG44"/>
  <c r="R44"/>
  <c r="AW44"/>
  <c r="AY44"/>
  <c r="AV42"/>
  <c r="T42"/>
  <c r="S42"/>
  <c r="G42"/>
  <c r="AO41"/>
  <c r="AJ41"/>
  <c r="AI41"/>
  <c r="AG41"/>
  <c r="R41"/>
  <c r="AL41"/>
  <c r="AS40"/>
  <c r="AR40"/>
  <c r="AP40"/>
  <c r="AO40"/>
  <c r="AJ40"/>
  <c r="AI40"/>
  <c r="AG40"/>
  <c r="R40"/>
  <c r="AS39"/>
  <c r="AR39"/>
  <c r="AP39"/>
  <c r="AO39"/>
  <c r="AJ39"/>
  <c r="AI39"/>
  <c r="AG39"/>
  <c r="R39"/>
  <c r="AW39"/>
  <c r="AY39"/>
  <c r="AS38"/>
  <c r="AR38"/>
  <c r="AP38"/>
  <c r="AO38"/>
  <c r="AJ38"/>
  <c r="AI38"/>
  <c r="AG38"/>
  <c r="R38"/>
  <c r="AL38"/>
  <c r="AS37"/>
  <c r="AR37"/>
  <c r="AP37"/>
  <c r="AO37"/>
  <c r="AJ37"/>
  <c r="AI37"/>
  <c r="AG37"/>
  <c r="R37"/>
  <c r="AL37"/>
  <c r="AS36"/>
  <c r="AR36"/>
  <c r="AP36"/>
  <c r="AO36"/>
  <c r="AJ36"/>
  <c r="AI36"/>
  <c r="AG36"/>
  <c r="R36"/>
  <c r="AL36"/>
  <c r="AU36"/>
  <c r="AS35"/>
  <c r="AR35"/>
  <c r="AP35"/>
  <c r="AO35"/>
  <c r="AJ35"/>
  <c r="AI35"/>
  <c r="AG35"/>
  <c r="R35"/>
  <c r="AW35"/>
  <c r="AY35"/>
  <c r="AS34"/>
  <c r="AR34"/>
  <c r="AP34"/>
  <c r="AO34"/>
  <c r="AJ34"/>
  <c r="AI34"/>
  <c r="AG34"/>
  <c r="R34"/>
  <c r="AH34"/>
  <c r="AV32"/>
  <c r="AV417"/>
  <c r="AI32"/>
  <c r="AI417"/>
  <c r="T32"/>
  <c r="T417"/>
  <c r="S32"/>
  <c r="S417"/>
  <c r="G32"/>
  <c r="AS31"/>
  <c r="AR31"/>
  <c r="AP31"/>
  <c r="AO31"/>
  <c r="AJ31"/>
  <c r="AI31"/>
  <c r="AH31"/>
  <c r="AA31"/>
  <c r="AQ31"/>
  <c r="AG31"/>
  <c r="R31"/>
  <c r="AL31"/>
  <c r="AS30"/>
  <c r="AR30"/>
  <c r="AL30"/>
  <c r="AJ30"/>
  <c r="AI30"/>
  <c r="AG30"/>
  <c r="AE30"/>
  <c r="Z30"/>
  <c r="R30"/>
  <c r="AK30"/>
  <c r="AM30"/>
  <c r="AW29"/>
  <c r="AY29"/>
  <c r="AS29"/>
  <c r="AS32"/>
  <c r="AS417"/>
  <c r="AR29"/>
  <c r="AP29"/>
  <c r="AO29"/>
  <c r="AJ29"/>
  <c r="AJ32"/>
  <c r="AJ417"/>
  <c r="AI29"/>
  <c r="AG29"/>
  <c r="AG32"/>
  <c r="AG417"/>
  <c r="R29"/>
  <c r="AV27"/>
  <c r="AV416"/>
  <c r="T27"/>
  <c r="T416"/>
  <c r="S27"/>
  <c r="S416"/>
  <c r="AS26"/>
  <c r="AR26"/>
  <c r="AP26"/>
  <c r="AO26"/>
  <c r="AJ26"/>
  <c r="AI26"/>
  <c r="AG26"/>
  <c r="R26"/>
  <c r="AW26"/>
  <c r="AY26"/>
  <c r="AS25"/>
  <c r="AR25"/>
  <c r="AP25"/>
  <c r="AO25"/>
  <c r="AJ25"/>
  <c r="AI25"/>
  <c r="AG25"/>
  <c r="R25"/>
  <c r="AH25"/>
  <c r="AA25"/>
  <c r="AQ25"/>
  <c r="AS24"/>
  <c r="AR24"/>
  <c r="AP24"/>
  <c r="AO24"/>
  <c r="AJ24"/>
  <c r="AI24"/>
  <c r="AG24"/>
  <c r="R24"/>
  <c r="AL24"/>
  <c r="AS23"/>
  <c r="AR23"/>
  <c r="AP23"/>
  <c r="AO23"/>
  <c r="AJ23"/>
  <c r="AI23"/>
  <c r="AG23"/>
  <c r="R23"/>
  <c r="AL23"/>
  <c r="AU23"/>
  <c r="AS22"/>
  <c r="AR22"/>
  <c r="AP22"/>
  <c r="AO22"/>
  <c r="AJ22"/>
  <c r="AI22"/>
  <c r="AG22"/>
  <c r="R22"/>
  <c r="AW22"/>
  <c r="AY22"/>
  <c r="AS21"/>
  <c r="AR21"/>
  <c r="AR27"/>
  <c r="AR416"/>
  <c r="AQ21"/>
  <c r="AP21"/>
  <c r="AO21"/>
  <c r="AG21"/>
  <c r="AG27"/>
  <c r="AG416"/>
  <c r="AS20"/>
  <c r="AR20"/>
  <c r="AQ20"/>
  <c r="AP20"/>
  <c r="AO20"/>
  <c r="AL20"/>
  <c r="AK20"/>
  <c r="AJ20"/>
  <c r="AN20"/>
  <c r="AI20"/>
  <c r="AV19"/>
  <c r="T19"/>
  <c r="S19"/>
  <c r="AS18"/>
  <c r="AR18"/>
  <c r="AP18"/>
  <c r="AO18"/>
  <c r="AJ18"/>
  <c r="AI18"/>
  <c r="AG18"/>
  <c r="R18"/>
  <c r="AL18"/>
  <c r="AS17"/>
  <c r="AR17"/>
  <c r="AQ17"/>
  <c r="AJ17"/>
  <c r="AI17"/>
  <c r="AG17"/>
  <c r="AE17"/>
  <c r="N17"/>
  <c r="I17"/>
  <c r="R17"/>
  <c r="AW17"/>
  <c r="AS16"/>
  <c r="AR16"/>
  <c r="AQ16"/>
  <c r="AP16"/>
  <c r="AO16"/>
  <c r="AG16"/>
  <c r="AS15"/>
  <c r="AR15"/>
  <c r="AQ15"/>
  <c r="AP15"/>
  <c r="AO15"/>
  <c r="AJ15"/>
  <c r="AI15"/>
  <c r="N15"/>
  <c r="R15"/>
  <c r="AS14"/>
  <c r="AR14"/>
  <c r="AQ14"/>
  <c r="AG14"/>
  <c r="AE14"/>
  <c r="I14"/>
  <c r="AS13"/>
  <c r="AR13"/>
  <c r="AQ13"/>
  <c r="AG13"/>
  <c r="AE13"/>
  <c r="I13"/>
  <c r="B13"/>
  <c r="B14"/>
  <c r="B16"/>
  <c r="B17"/>
  <c r="B18"/>
  <c r="B21"/>
  <c r="B22"/>
  <c r="B23"/>
  <c r="B24"/>
  <c r="B25"/>
  <c r="B26"/>
  <c r="B29"/>
  <c r="B30"/>
  <c r="B31"/>
  <c r="B34"/>
  <c r="B35"/>
  <c r="B36"/>
  <c r="B37"/>
  <c r="B38"/>
  <c r="B39"/>
  <c r="B40"/>
  <c r="B41"/>
  <c r="AS12"/>
  <c r="AR12"/>
  <c r="AQ12"/>
  <c r="AG12"/>
  <c r="I12"/>
  <c r="I19"/>
  <c r="AG11"/>
  <c r="I11"/>
  <c r="AF10"/>
  <c r="AD10"/>
  <c r="R10"/>
  <c r="I10"/>
  <c r="AK249" i="41"/>
  <c r="AM249"/>
  <c r="AB249"/>
  <c r="Z250"/>
  <c r="T449"/>
  <c r="AG258"/>
  <c r="AK250"/>
  <c r="AT250"/>
  <c r="AW250"/>
  <c r="Z411"/>
  <c r="AJ434"/>
  <c r="AS412" i="21"/>
  <c r="Z326" i="41"/>
  <c r="AL326"/>
  <c r="AW326"/>
  <c r="AM326"/>
  <c r="AV288"/>
  <c r="AV426"/>
  <c r="AV451"/>
  <c r="G288"/>
  <c r="AQ222"/>
  <c r="AB222"/>
  <c r="AH213"/>
  <c r="AA213"/>
  <c r="AQ213"/>
  <c r="AN22"/>
  <c r="AW35"/>
  <c r="AN39"/>
  <c r="AK47"/>
  <c r="AT47"/>
  <c r="AK61"/>
  <c r="AK72"/>
  <c r="AM72"/>
  <c r="AL72"/>
  <c r="AW72"/>
  <c r="W72"/>
  <c r="AK166"/>
  <c r="AL166"/>
  <c r="AN191"/>
  <c r="AN36"/>
  <c r="AH47"/>
  <c r="AA47"/>
  <c r="AW51"/>
  <c r="AW62"/>
  <c r="AH82"/>
  <c r="AA82"/>
  <c r="AQ82"/>
  <c r="AW110"/>
  <c r="AK146"/>
  <c r="AT146"/>
  <c r="AL146"/>
  <c r="AU146"/>
  <c r="AW146"/>
  <c r="Z146"/>
  <c r="AO146"/>
  <c r="AK150"/>
  <c r="AM150"/>
  <c r="AW150"/>
  <c r="AL150"/>
  <c r="AJ172"/>
  <c r="AJ180"/>
  <c r="AJ422"/>
  <c r="AP191"/>
  <c r="Z192"/>
  <c r="AP192"/>
  <c r="AQ19"/>
  <c r="AQ415"/>
  <c r="AH25"/>
  <c r="AA25"/>
  <c r="AQ25"/>
  <c r="AW26"/>
  <c r="AH36"/>
  <c r="AA36"/>
  <c r="AQ36"/>
  <c r="AL37"/>
  <c r="AN37"/>
  <c r="AW44"/>
  <c r="AL46"/>
  <c r="AL58"/>
  <c r="AH58"/>
  <c r="AA58"/>
  <c r="AQ58"/>
  <c r="AK70"/>
  <c r="AM70"/>
  <c r="W70"/>
  <c r="AH72"/>
  <c r="AA72"/>
  <c r="AB72"/>
  <c r="AK78"/>
  <c r="AM78"/>
  <c r="AK86"/>
  <c r="AK94"/>
  <c r="AW94"/>
  <c r="Z94"/>
  <c r="AP94"/>
  <c r="AK108"/>
  <c r="AL108"/>
  <c r="AU108"/>
  <c r="AW108"/>
  <c r="Z108"/>
  <c r="R126"/>
  <c r="AL115"/>
  <c r="AN115"/>
  <c r="Z115"/>
  <c r="AK123"/>
  <c r="AM123"/>
  <c r="AK143"/>
  <c r="AW143"/>
  <c r="AL143"/>
  <c r="AU143"/>
  <c r="Z150"/>
  <c r="AN155"/>
  <c r="AU162"/>
  <c r="AN162"/>
  <c r="AS172"/>
  <c r="AJ179"/>
  <c r="AH191"/>
  <c r="AA191"/>
  <c r="AQ191"/>
  <c r="AR216"/>
  <c r="Z213"/>
  <c r="AJ223"/>
  <c r="AJ224"/>
  <c r="AJ424"/>
  <c r="AN218"/>
  <c r="AH233"/>
  <c r="AA233"/>
  <c r="AQ233"/>
  <c r="AT234"/>
  <c r="AL246"/>
  <c r="AW246"/>
  <c r="AB246"/>
  <c r="AF246"/>
  <c r="AC246"/>
  <c r="AR267"/>
  <c r="AL264"/>
  <c r="AW264"/>
  <c r="AB264"/>
  <c r="AF264"/>
  <c r="AC264"/>
  <c r="AK264"/>
  <c r="Z264"/>
  <c r="AK82"/>
  <c r="AW100"/>
  <c r="AL100"/>
  <c r="AK100"/>
  <c r="AL102"/>
  <c r="AN102"/>
  <c r="AK102"/>
  <c r="AT102"/>
  <c r="Z102"/>
  <c r="AP102"/>
  <c r="AK117"/>
  <c r="AL117"/>
  <c r="AU117"/>
  <c r="AW117"/>
  <c r="Z117"/>
  <c r="AP117"/>
  <c r="AH192"/>
  <c r="AA192"/>
  <c r="AQ192"/>
  <c r="AN210"/>
  <c r="AU210"/>
  <c r="AK233"/>
  <c r="AT233"/>
  <c r="Z233"/>
  <c r="AO233"/>
  <c r="AT265"/>
  <c r="AM265"/>
  <c r="AW22"/>
  <c r="AK25"/>
  <c r="AK36"/>
  <c r="AT36"/>
  <c r="AW39"/>
  <c r="AH61"/>
  <c r="AA61"/>
  <c r="AQ61"/>
  <c r="AK83"/>
  <c r="AW106"/>
  <c r="Z166"/>
  <c r="AO166"/>
  <c r="AP210"/>
  <c r="AO210"/>
  <c r="AK214"/>
  <c r="AM214"/>
  <c r="AL214"/>
  <c r="Z214"/>
  <c r="AP214"/>
  <c r="AL233"/>
  <c r="AL261"/>
  <c r="Z261"/>
  <c r="AP261"/>
  <c r="AM20"/>
  <c r="AR27"/>
  <c r="AR416"/>
  <c r="AK23"/>
  <c r="AT23"/>
  <c r="AK34"/>
  <c r="AJ42"/>
  <c r="AJ418"/>
  <c r="AM36"/>
  <c r="AK38"/>
  <c r="AM38"/>
  <c r="AN56"/>
  <c r="AL65"/>
  <c r="AK65"/>
  <c r="AL70"/>
  <c r="AH78"/>
  <c r="AA78"/>
  <c r="AQ78"/>
  <c r="AK79"/>
  <c r="AH86"/>
  <c r="AA86"/>
  <c r="AQ86"/>
  <c r="AM102"/>
  <c r="Z123"/>
  <c r="AJ140"/>
  <c r="Z143"/>
  <c r="AO143"/>
  <c r="AN143"/>
  <c r="AB198"/>
  <c r="AH234"/>
  <c r="AA234"/>
  <c r="AQ234"/>
  <c r="AK236"/>
  <c r="AT236"/>
  <c r="AL236"/>
  <c r="Z236"/>
  <c r="AP236"/>
  <c r="AW236"/>
  <c r="Z254"/>
  <c r="AK254"/>
  <c r="AM254"/>
  <c r="AE267"/>
  <c r="AB277"/>
  <c r="AQ277"/>
  <c r="AH56"/>
  <c r="AA56"/>
  <c r="AQ56"/>
  <c r="AH57"/>
  <c r="AA57"/>
  <c r="AB57"/>
  <c r="AN64"/>
  <c r="AK64"/>
  <c r="AN71"/>
  <c r="AH79"/>
  <c r="AA79"/>
  <c r="AQ79"/>
  <c r="AK80"/>
  <c r="AH83"/>
  <c r="AA83"/>
  <c r="AQ83"/>
  <c r="AK84"/>
  <c r="AM84"/>
  <c r="AH95"/>
  <c r="AA95"/>
  <c r="AQ95"/>
  <c r="AN108"/>
  <c r="AR140"/>
  <c r="AI152"/>
  <c r="AW170"/>
  <c r="AM177"/>
  <c r="AG194"/>
  <c r="AG202"/>
  <c r="AG423"/>
  <c r="AW190"/>
  <c r="AL191"/>
  <c r="AU191"/>
  <c r="AM204"/>
  <c r="AG216"/>
  <c r="AG224"/>
  <c r="AG424"/>
  <c r="AN225"/>
  <c r="AJ237"/>
  <c r="AS258"/>
  <c r="AJ267"/>
  <c r="AN279"/>
  <c r="AR299"/>
  <c r="AH52"/>
  <c r="AA52"/>
  <c r="AQ52"/>
  <c r="AP87"/>
  <c r="AP419"/>
  <c r="AH64"/>
  <c r="AA64"/>
  <c r="AQ64"/>
  <c r="AH65"/>
  <c r="AA65"/>
  <c r="AB65"/>
  <c r="AE65"/>
  <c r="AF65"/>
  <c r="AC65"/>
  <c r="AK67"/>
  <c r="AK77"/>
  <c r="AM77"/>
  <c r="AH80"/>
  <c r="AA80"/>
  <c r="AQ80"/>
  <c r="AK81"/>
  <c r="AK85"/>
  <c r="AE113"/>
  <c r="AN94"/>
  <c r="AM96"/>
  <c r="AM101"/>
  <c r="AW109"/>
  <c r="Z119"/>
  <c r="AO119"/>
  <c r="AW119"/>
  <c r="AS140"/>
  <c r="AS152"/>
  <c r="Z169"/>
  <c r="AP169"/>
  <c r="AG179"/>
  <c r="AI179"/>
  <c r="AM191"/>
  <c r="AW191"/>
  <c r="AN204"/>
  <c r="AN213"/>
  <c r="AQ229"/>
  <c r="AR237"/>
  <c r="AH264"/>
  <c r="AA264"/>
  <c r="AQ264"/>
  <c r="Z266"/>
  <c r="AG113"/>
  <c r="AR113"/>
  <c r="AI113"/>
  <c r="AI127"/>
  <c r="AI438"/>
  <c r="AS113"/>
  <c r="AS127"/>
  <c r="AS438"/>
  <c r="T127"/>
  <c r="AJ113"/>
  <c r="AW348" i="21"/>
  <c r="AW429"/>
  <c r="AY347"/>
  <c r="AK293"/>
  <c r="AL293"/>
  <c r="AU293"/>
  <c r="Z293"/>
  <c r="AP293"/>
  <c r="AO294"/>
  <c r="AP294"/>
  <c r="AL318"/>
  <c r="AN318"/>
  <c r="AK318"/>
  <c r="W318"/>
  <c r="AR318"/>
  <c r="AL361"/>
  <c r="AK361"/>
  <c r="AM361"/>
  <c r="AW361"/>
  <c r="AY361"/>
  <c r="Z361"/>
  <c r="AL362"/>
  <c r="Z362"/>
  <c r="AB362"/>
  <c r="AK362"/>
  <c r="AW362"/>
  <c r="AY362"/>
  <c r="AO63"/>
  <c r="AO87"/>
  <c r="AO419"/>
  <c r="S87"/>
  <c r="AL143"/>
  <c r="Z143"/>
  <c r="AP143"/>
  <c r="AK156"/>
  <c r="AM156"/>
  <c r="AL156"/>
  <c r="AN156"/>
  <c r="W156"/>
  <c r="AK158"/>
  <c r="AT158"/>
  <c r="AW158"/>
  <c r="AY158"/>
  <c r="AO223"/>
  <c r="I237"/>
  <c r="I242"/>
  <c r="R231"/>
  <c r="Z231"/>
  <c r="AK250"/>
  <c r="AL250"/>
  <c r="AU250"/>
  <c r="Z250"/>
  <c r="AO250"/>
  <c r="AL310"/>
  <c r="AU310"/>
  <c r="AW310"/>
  <c r="AY310"/>
  <c r="AK310"/>
  <c r="Z310"/>
  <c r="AH41"/>
  <c r="AA41"/>
  <c r="AB41"/>
  <c r="AN59"/>
  <c r="AH64"/>
  <c r="AA64"/>
  <c r="AQ64"/>
  <c r="AW64"/>
  <c r="AY64"/>
  <c r="AN74"/>
  <c r="AK143"/>
  <c r="AM143"/>
  <c r="P164"/>
  <c r="R163"/>
  <c r="AL168"/>
  <c r="AU168"/>
  <c r="Z168"/>
  <c r="AP168"/>
  <c r="AW168"/>
  <c r="AY168"/>
  <c r="AK168"/>
  <c r="AP185"/>
  <c r="Z228"/>
  <c r="AW228"/>
  <c r="AY228"/>
  <c r="AW271"/>
  <c r="AY271"/>
  <c r="Z271"/>
  <c r="AB271"/>
  <c r="AF271"/>
  <c r="AC271"/>
  <c r="AJ320"/>
  <c r="AK326"/>
  <c r="AK328"/>
  <c r="AW326"/>
  <c r="AY326"/>
  <c r="AL326"/>
  <c r="Z326"/>
  <c r="AO326"/>
  <c r="AR339"/>
  <c r="AS339"/>
  <c r="AV367"/>
  <c r="AV430"/>
  <c r="R374"/>
  <c r="AK18"/>
  <c r="AM18"/>
  <c r="AP27"/>
  <c r="AP416"/>
  <c r="AK23"/>
  <c r="AM23"/>
  <c r="AR32"/>
  <c r="AR417"/>
  <c r="AH36"/>
  <c r="AA36"/>
  <c r="AQ36"/>
  <c r="AN37"/>
  <c r="AL40"/>
  <c r="AU40"/>
  <c r="AW40"/>
  <c r="AY40"/>
  <c r="AN57"/>
  <c r="AH58"/>
  <c r="AA58"/>
  <c r="AB58"/>
  <c r="AE58"/>
  <c r="AF58"/>
  <c r="AC58"/>
  <c r="AD58"/>
  <c r="AI63"/>
  <c r="AR63"/>
  <c r="AW65"/>
  <c r="AY65"/>
  <c r="AW71"/>
  <c r="AY71"/>
  <c r="AH74"/>
  <c r="AA74"/>
  <c r="Z96"/>
  <c r="AB96"/>
  <c r="AH112"/>
  <c r="AL116"/>
  <c r="AK118"/>
  <c r="AW150"/>
  <c r="AY150"/>
  <c r="AL150"/>
  <c r="AN150"/>
  <c r="W174"/>
  <c r="AP184"/>
  <c r="AL189"/>
  <c r="AU189"/>
  <c r="AW189"/>
  <c r="AY189"/>
  <c r="Z189"/>
  <c r="AP189"/>
  <c r="AK190"/>
  <c r="AL190"/>
  <c r="AN190"/>
  <c r="G202"/>
  <c r="AV224"/>
  <c r="AV424"/>
  <c r="AI216"/>
  <c r="AN222"/>
  <c r="AK228"/>
  <c r="AK229"/>
  <c r="AK239"/>
  <c r="R241"/>
  <c r="AL239"/>
  <c r="AI241"/>
  <c r="AK255"/>
  <c r="AL255"/>
  <c r="AU255"/>
  <c r="Z255"/>
  <c r="AB255"/>
  <c r="AW255"/>
  <c r="AY255"/>
  <c r="AL256"/>
  <c r="AN256"/>
  <c r="AK256"/>
  <c r="AH276"/>
  <c r="AA276"/>
  <c r="AQ276"/>
  <c r="AO281"/>
  <c r="AH280"/>
  <c r="AA280"/>
  <c r="AQ280"/>
  <c r="AH284"/>
  <c r="AA284"/>
  <c r="AQ284"/>
  <c r="AB298"/>
  <c r="AD298"/>
  <c r="AP343"/>
  <c r="AL365"/>
  <c r="AK365"/>
  <c r="AK366"/>
  <c r="W365"/>
  <c r="W366"/>
  <c r="W367"/>
  <c r="P392"/>
  <c r="R384"/>
  <c r="A445"/>
  <c r="AN64"/>
  <c r="R152"/>
  <c r="AO159"/>
  <c r="AK175"/>
  <c r="AM175"/>
  <c r="AW175"/>
  <c r="AY175"/>
  <c r="AK221"/>
  <c r="AW221"/>
  <c r="AY221"/>
  <c r="AW261"/>
  <c r="AY261"/>
  <c r="AW269"/>
  <c r="AY269"/>
  <c r="AK269"/>
  <c r="AT269"/>
  <c r="Z269"/>
  <c r="AK315"/>
  <c r="AM315"/>
  <c r="AW36"/>
  <c r="AY36"/>
  <c r="AW41"/>
  <c r="AY41"/>
  <c r="AH46"/>
  <c r="AA46"/>
  <c r="AN58"/>
  <c r="AW74"/>
  <c r="AY74"/>
  <c r="AL105"/>
  <c r="Z105"/>
  <c r="AF112"/>
  <c r="AC112"/>
  <c r="AW143"/>
  <c r="AY143"/>
  <c r="AK174"/>
  <c r="AH174"/>
  <c r="AA174"/>
  <c r="AL174"/>
  <c r="AU174"/>
  <c r="AK270"/>
  <c r="AL276"/>
  <c r="AK302"/>
  <c r="AM302"/>
  <c r="Z302"/>
  <c r="AO302"/>
  <c r="AK311"/>
  <c r="AL311"/>
  <c r="AU323"/>
  <c r="AN323"/>
  <c r="AP334"/>
  <c r="AO334"/>
  <c r="AL359"/>
  <c r="AB359"/>
  <c r="AF359"/>
  <c r="AC359"/>
  <c r="AD359"/>
  <c r="AK359"/>
  <c r="AM359"/>
  <c r="Z359"/>
  <c r="AM373"/>
  <c r="AH18"/>
  <c r="AA18"/>
  <c r="AA19"/>
  <c r="AW18"/>
  <c r="AY18"/>
  <c r="AH22"/>
  <c r="AH23"/>
  <c r="AA23"/>
  <c r="AQ23"/>
  <c r="AW23"/>
  <c r="AY23"/>
  <c r="AL29"/>
  <c r="AU29"/>
  <c r="AU32"/>
  <c r="AU417"/>
  <c r="R32"/>
  <c r="AK29"/>
  <c r="AM29"/>
  <c r="AI42"/>
  <c r="AI418"/>
  <c r="AH39"/>
  <c r="AA39"/>
  <c r="AQ39"/>
  <c r="AK40"/>
  <c r="AM40"/>
  <c r="AW108"/>
  <c r="AY108"/>
  <c r="Z108"/>
  <c r="AP108"/>
  <c r="AL112"/>
  <c r="AK112"/>
  <c r="AM112"/>
  <c r="AW123"/>
  <c r="AY123"/>
  <c r="AK123"/>
  <c r="AM123"/>
  <c r="AK150"/>
  <c r="R185"/>
  <c r="I194"/>
  <c r="I202"/>
  <c r="R187"/>
  <c r="AL187"/>
  <c r="AU187"/>
  <c r="AK198"/>
  <c r="AL198"/>
  <c r="W198"/>
  <c r="AS198"/>
  <c r="W239"/>
  <c r="AB239"/>
  <c r="AF249"/>
  <c r="AC249"/>
  <c r="Z256"/>
  <c r="AO256"/>
  <c r="AS273"/>
  <c r="AT297"/>
  <c r="AM297"/>
  <c r="AL347"/>
  <c r="AN347"/>
  <c r="AN348"/>
  <c r="AN429"/>
  <c r="AE363"/>
  <c r="AH359"/>
  <c r="AH363"/>
  <c r="AQ363"/>
  <c r="AL360"/>
  <c r="AW360"/>
  <c r="AY360"/>
  <c r="AK360"/>
  <c r="Z360"/>
  <c r="I382"/>
  <c r="I396"/>
  <c r="AT391"/>
  <c r="AJ412"/>
  <c r="AJ443"/>
  <c r="AV450"/>
  <c r="T160"/>
  <c r="AW146"/>
  <c r="AY146"/>
  <c r="AL146"/>
  <c r="AU146"/>
  <c r="AH156"/>
  <c r="AA156"/>
  <c r="AQ156"/>
  <c r="G180"/>
  <c r="AM182"/>
  <c r="AR185"/>
  <c r="AK200"/>
  <c r="AK219"/>
  <c r="AT219"/>
  <c r="W219"/>
  <c r="AS219"/>
  <c r="AJ258"/>
  <c r="AJ273"/>
  <c r="AJ287"/>
  <c r="AW296"/>
  <c r="AY296"/>
  <c r="AE328"/>
  <c r="AR336"/>
  <c r="AW341"/>
  <c r="AY341"/>
  <c r="R343"/>
  <c r="G367"/>
  <c r="AS392"/>
  <c r="AE406"/>
  <c r="AE407"/>
  <c r="AU408"/>
  <c r="AN408"/>
  <c r="Z142"/>
  <c r="AB142"/>
  <c r="AW142"/>
  <c r="AY142"/>
  <c r="AL144"/>
  <c r="AK146"/>
  <c r="AK154"/>
  <c r="AM154"/>
  <c r="AL176"/>
  <c r="AU176"/>
  <c r="W176"/>
  <c r="AN178"/>
  <c r="AU178"/>
  <c r="AH197"/>
  <c r="AA197"/>
  <c r="AQ197"/>
  <c r="AH198"/>
  <c r="AA198"/>
  <c r="AQ198"/>
  <c r="W199"/>
  <c r="AR199"/>
  <c r="T202"/>
  <c r="T423"/>
  <c r="AM203"/>
  <c r="AJ207"/>
  <c r="AL206"/>
  <c r="AU206"/>
  <c r="Z206"/>
  <c r="AB206"/>
  <c r="AF206"/>
  <c r="AC206"/>
  <c r="R229"/>
  <c r="AS229"/>
  <c r="G242"/>
  <c r="AO241"/>
  <c r="AH240"/>
  <c r="AA240"/>
  <c r="AQ240"/>
  <c r="AQ241"/>
  <c r="G288"/>
  <c r="AG262"/>
  <c r="AG287"/>
  <c r="AN286"/>
  <c r="AU286"/>
  <c r="AL292"/>
  <c r="AU292"/>
  <c r="AW292"/>
  <c r="AY292"/>
  <c r="AK292"/>
  <c r="AT292"/>
  <c r="AI299"/>
  <c r="AB296"/>
  <c r="AL297"/>
  <c r="AU297"/>
  <c r="AB297"/>
  <c r="AF297"/>
  <c r="AC297"/>
  <c r="AD297"/>
  <c r="Z304"/>
  <c r="AQ313"/>
  <c r="AK319"/>
  <c r="AR328"/>
  <c r="AS336"/>
  <c r="AL335"/>
  <c r="AN335"/>
  <c r="AW335"/>
  <c r="AY335"/>
  <c r="T344"/>
  <c r="T349"/>
  <c r="T440"/>
  <c r="AG343"/>
  <c r="W341"/>
  <c r="AL341"/>
  <c r="AR363"/>
  <c r="S367"/>
  <c r="AJ377"/>
  <c r="AS377"/>
  <c r="T396"/>
  <c r="T432"/>
  <c r="AJ392"/>
  <c r="AW395"/>
  <c r="AY394"/>
  <c r="T407"/>
  <c r="AR406"/>
  <c r="AR407"/>
  <c r="T443"/>
  <c r="T434"/>
  <c r="AG19"/>
  <c r="AO27"/>
  <c r="AO416"/>
  <c r="AH24"/>
  <c r="AA24"/>
  <c r="AQ24"/>
  <c r="AN36"/>
  <c r="AH40"/>
  <c r="AA40"/>
  <c r="AQ40"/>
  <c r="AH52"/>
  <c r="AA52"/>
  <c r="AQ52"/>
  <c r="AH57"/>
  <c r="AA57"/>
  <c r="AB57"/>
  <c r="AE57"/>
  <c r="AF57"/>
  <c r="AC57"/>
  <c r="AH65"/>
  <c r="AA65"/>
  <c r="AQ65"/>
  <c r="AH70"/>
  <c r="AA70"/>
  <c r="AQ70"/>
  <c r="AJ126"/>
  <c r="AJ127"/>
  <c r="AG140"/>
  <c r="P140"/>
  <c r="P160"/>
  <c r="S160"/>
  <c r="AN149"/>
  <c r="AH157"/>
  <c r="AA157"/>
  <c r="AQ157"/>
  <c r="G160"/>
  <c r="AN161"/>
  <c r="AP179"/>
  <c r="AO179"/>
  <c r="AN182"/>
  <c r="AG185"/>
  <c r="AQ185"/>
  <c r="AE194"/>
  <c r="AH199"/>
  <c r="AA199"/>
  <c r="AQ199"/>
  <c r="AM204"/>
  <c r="AE207"/>
  <c r="AG216"/>
  <c r="AH222"/>
  <c r="AA222"/>
  <c r="AQ222"/>
  <c r="AN225"/>
  <c r="AN226"/>
  <c r="AH227"/>
  <c r="AV242"/>
  <c r="AV425"/>
  <c r="AN262"/>
  <c r="AW275"/>
  <c r="AY275"/>
  <c r="AL277"/>
  <c r="AG299"/>
  <c r="AR299"/>
  <c r="G321"/>
  <c r="AI313"/>
  <c r="AH310"/>
  <c r="AO320"/>
  <c r="AH318"/>
  <c r="AA318"/>
  <c r="AQ318"/>
  <c r="AJ328"/>
  <c r="AJ344"/>
  <c r="AN334"/>
  <c r="AW334"/>
  <c r="AY334"/>
  <c r="AO343"/>
  <c r="AQ355"/>
  <c r="T367"/>
  <c r="AH365"/>
  <c r="AJ378"/>
  <c r="AJ431"/>
  <c r="G378"/>
  <c r="AI377"/>
  <c r="AI378"/>
  <c r="AI431"/>
  <c r="AR377"/>
  <c r="AR378"/>
  <c r="AR431"/>
  <c r="G396"/>
  <c r="AV396"/>
  <c r="AV432"/>
  <c r="AR412"/>
  <c r="AH54"/>
  <c r="AA54"/>
  <c r="AQ54"/>
  <c r="AL54"/>
  <c r="AN54"/>
  <c r="AK44"/>
  <c r="AL47"/>
  <c r="AN47"/>
  <c r="AL63"/>
  <c r="AW63"/>
  <c r="AY63"/>
  <c r="AY166"/>
  <c r="AL170"/>
  <c r="AU170"/>
  <c r="Z170"/>
  <c r="AW170"/>
  <c r="AY170"/>
  <c r="AW447"/>
  <c r="AY17"/>
  <c r="AK26"/>
  <c r="AT26"/>
  <c r="AS27"/>
  <c r="AS416"/>
  <c r="AH53"/>
  <c r="AA53"/>
  <c r="AQ53"/>
  <c r="AW59"/>
  <c r="AY59"/>
  <c r="AL67"/>
  <c r="AW67"/>
  <c r="AY67"/>
  <c r="AK67"/>
  <c r="AM67"/>
  <c r="AW72"/>
  <c r="AY72"/>
  <c r="AF96"/>
  <c r="AC96"/>
  <c r="AO108"/>
  <c r="AR140"/>
  <c r="AR152"/>
  <c r="AB170"/>
  <c r="AN170"/>
  <c r="AI201"/>
  <c r="AL254"/>
  <c r="AK254"/>
  <c r="AB254"/>
  <c r="AF254"/>
  <c r="AC254"/>
  <c r="AD254"/>
  <c r="AW254"/>
  <c r="AY254"/>
  <c r="Z254"/>
  <c r="AP254"/>
  <c r="AK35"/>
  <c r="AM35"/>
  <c r="AL133"/>
  <c r="AW133"/>
  <c r="AY133"/>
  <c r="Z133"/>
  <c r="AM150"/>
  <c r="AT150"/>
  <c r="AL167"/>
  <c r="AW167"/>
  <c r="AY167"/>
  <c r="AK167"/>
  <c r="AM167"/>
  <c r="AO255"/>
  <c r="AU18"/>
  <c r="AN18"/>
  <c r="AH26"/>
  <c r="AA26"/>
  <c r="AQ26"/>
  <c r="AW37"/>
  <c r="AY37"/>
  <c r="AS42"/>
  <c r="AS418"/>
  <c r="AH59"/>
  <c r="AA59"/>
  <c r="AB59"/>
  <c r="AL73"/>
  <c r="AN73"/>
  <c r="AW73"/>
  <c r="AY73"/>
  <c r="AW101"/>
  <c r="AY101"/>
  <c r="AK101"/>
  <c r="AT101"/>
  <c r="AL109"/>
  <c r="AN109"/>
  <c r="AR126"/>
  <c r="AK119"/>
  <c r="AW120"/>
  <c r="AY120"/>
  <c r="AK120"/>
  <c r="AT120"/>
  <c r="AL138"/>
  <c r="AW138"/>
  <c r="AY138"/>
  <c r="Z138"/>
  <c r="AP138"/>
  <c r="AI152"/>
  <c r="AL169"/>
  <c r="AU169"/>
  <c r="AK169"/>
  <c r="Z169"/>
  <c r="AB169"/>
  <c r="AJ242"/>
  <c r="AJ425"/>
  <c r="AJ237"/>
  <c r="AP264"/>
  <c r="AO264"/>
  <c r="AB23"/>
  <c r="AX23"/>
  <c r="BA23"/>
  <c r="AW46"/>
  <c r="AY46"/>
  <c r="AL50"/>
  <c r="AK69"/>
  <c r="AL69"/>
  <c r="AU69"/>
  <c r="W69"/>
  <c r="AN72"/>
  <c r="AU72"/>
  <c r="AL108"/>
  <c r="AU108"/>
  <c r="AK108"/>
  <c r="AM108"/>
  <c r="AW124"/>
  <c r="AY124"/>
  <c r="AM298"/>
  <c r="AT298"/>
  <c r="AS172"/>
  <c r="AF170"/>
  <c r="AC170"/>
  <c r="AN176"/>
  <c r="AJ201"/>
  <c r="AJ216"/>
  <c r="K258"/>
  <c r="K288"/>
  <c r="AJ267"/>
  <c r="AN276"/>
  <c r="AR19"/>
  <c r="AR415"/>
  <c r="AK22"/>
  <c r="AM22"/>
  <c r="AN24"/>
  <c r="AW24"/>
  <c r="AY24"/>
  <c r="AH35"/>
  <c r="AA35"/>
  <c r="AQ35"/>
  <c r="AO42"/>
  <c r="AO418"/>
  <c r="AK36"/>
  <c r="AM36"/>
  <c r="AH37"/>
  <c r="AA37"/>
  <c r="AK39"/>
  <c r="AM39"/>
  <c r="AH63"/>
  <c r="AA63"/>
  <c r="AQ63"/>
  <c r="AH67"/>
  <c r="AA67"/>
  <c r="AQ67"/>
  <c r="AW95"/>
  <c r="AY95"/>
  <c r="AK96"/>
  <c r="AM96"/>
  <c r="AW96"/>
  <c r="AY96"/>
  <c r="Z100"/>
  <c r="AB100"/>
  <c r="AF100"/>
  <c r="AC100"/>
  <c r="R126"/>
  <c r="AS126"/>
  <c r="AS140"/>
  <c r="AW149"/>
  <c r="AY149"/>
  <c r="AI179"/>
  <c r="AI180"/>
  <c r="AI422"/>
  <c r="AJ179"/>
  <c r="AJ180"/>
  <c r="AJ422"/>
  <c r="AR194"/>
  <c r="AQ207"/>
  <c r="AE216"/>
  <c r="AM226"/>
  <c r="AQ229"/>
  <c r="AS237"/>
  <c r="AH236"/>
  <c r="AO236"/>
  <c r="AW236"/>
  <c r="AY236"/>
  <c r="AQ258"/>
  <c r="AK249"/>
  <c r="AT249"/>
  <c r="AW249"/>
  <c r="AY249"/>
  <c r="AN260"/>
  <c r="AL261"/>
  <c r="AN261"/>
  <c r="AK262"/>
  <c r="AT262"/>
  <c r="AH264"/>
  <c r="AR267"/>
  <c r="AM280"/>
  <c r="AS19"/>
  <c r="AS415"/>
  <c r="AM20"/>
  <c r="AL25"/>
  <c r="AN25"/>
  <c r="AH51"/>
  <c r="AA51"/>
  <c r="AQ51"/>
  <c r="AB52"/>
  <c r="AE52"/>
  <c r="AF52"/>
  <c r="AC52"/>
  <c r="AD52"/>
  <c r="AW52"/>
  <c r="AY52"/>
  <c r="AW58"/>
  <c r="AY58"/>
  <c r="AK62"/>
  <c r="AK64"/>
  <c r="AM64"/>
  <c r="AB65"/>
  <c r="AK65"/>
  <c r="AM65"/>
  <c r="AH71"/>
  <c r="AA71"/>
  <c r="AQ71"/>
  <c r="AH73"/>
  <c r="AA73"/>
  <c r="AB73"/>
  <c r="AE73"/>
  <c r="AF73"/>
  <c r="AC73"/>
  <c r="AD73"/>
  <c r="AG113"/>
  <c r="AK102"/>
  <c r="AM102"/>
  <c r="AK110"/>
  <c r="AT110"/>
  <c r="Z115"/>
  <c r="AP115"/>
  <c r="Z116"/>
  <c r="AO116"/>
  <c r="AK121"/>
  <c r="AT121"/>
  <c r="Z125"/>
  <c r="AH125"/>
  <c r="AW125"/>
  <c r="AY125"/>
  <c r="AJ140"/>
  <c r="AE152"/>
  <c r="AK144"/>
  <c r="AT144"/>
  <c r="Z149"/>
  <c r="AG172"/>
  <c r="AI194"/>
  <c r="AI202"/>
  <c r="AI423"/>
  <c r="Z190"/>
  <c r="AO190"/>
  <c r="AR207"/>
  <c r="AR216"/>
  <c r="AS216"/>
  <c r="AJ223"/>
  <c r="AG258"/>
  <c r="AE258"/>
  <c r="AM251"/>
  <c r="AN255"/>
  <c r="AQ267"/>
  <c r="Z261"/>
  <c r="AH261"/>
  <c r="AM261"/>
  <c r="Z262"/>
  <c r="Z267"/>
  <c r="AJ281"/>
  <c r="AQ299"/>
  <c r="AV288"/>
  <c r="AV426"/>
  <c r="AH279"/>
  <c r="AA279"/>
  <c r="AQ279"/>
  <c r="R281"/>
  <c r="AL280"/>
  <c r="AN280"/>
  <c r="AW280"/>
  <c r="AY280"/>
  <c r="W280"/>
  <c r="AS280"/>
  <c r="AG281"/>
  <c r="AK277"/>
  <c r="AR277"/>
  <c r="AI281"/>
  <c r="AT280"/>
  <c r="AI113"/>
  <c r="AR113"/>
  <c r="AR127"/>
  <c r="AR438"/>
  <c r="AJ113"/>
  <c r="AS113"/>
  <c r="AI87"/>
  <c r="AI419"/>
  <c r="AK66"/>
  <c r="AM66"/>
  <c r="R87"/>
  <c r="AH66"/>
  <c r="AA66"/>
  <c r="AQ66"/>
  <c r="AW66"/>
  <c r="AJ87" i="41"/>
  <c r="AJ419"/>
  <c r="AN66"/>
  <c r="AK66"/>
  <c r="A446" i="21"/>
  <c r="I131" i="8"/>
  <c r="J131"/>
  <c r="K131"/>
  <c r="H130"/>
  <c r="I130"/>
  <c r="J130"/>
  <c r="G128"/>
  <c r="H128"/>
  <c r="AN59" i="41"/>
  <c r="AU59"/>
  <c r="AB66"/>
  <c r="AQ66"/>
  <c r="AG415"/>
  <c r="AM30"/>
  <c r="AM32"/>
  <c r="AM417"/>
  <c r="AT30"/>
  <c r="AN58"/>
  <c r="AU58"/>
  <c r="G12"/>
  <c r="Z11"/>
  <c r="AB11"/>
  <c r="AD11"/>
  <c r="AF11"/>
  <c r="B103"/>
  <c r="B104"/>
  <c r="B105"/>
  <c r="B106"/>
  <c r="B107"/>
  <c r="B108"/>
  <c r="B109"/>
  <c r="B110"/>
  <c r="B111"/>
  <c r="B112"/>
  <c r="B115"/>
  <c r="B116"/>
  <c r="B117"/>
  <c r="B118"/>
  <c r="B119"/>
  <c r="B120"/>
  <c r="B121"/>
  <c r="B122"/>
  <c r="B123"/>
  <c r="B124"/>
  <c r="B125"/>
  <c r="B131"/>
  <c r="B132"/>
  <c r="B133"/>
  <c r="B134"/>
  <c r="B135"/>
  <c r="B136"/>
  <c r="B138"/>
  <c r="B139"/>
  <c r="B142"/>
  <c r="B143"/>
  <c r="B144"/>
  <c r="B145"/>
  <c r="B146"/>
  <c r="B147"/>
  <c r="B148"/>
  <c r="B149"/>
  <c r="B150"/>
  <c r="B151"/>
  <c r="B154"/>
  <c r="B155"/>
  <c r="B156"/>
  <c r="B157"/>
  <c r="B158"/>
  <c r="B163"/>
  <c r="B166"/>
  <c r="B167"/>
  <c r="B168"/>
  <c r="B169"/>
  <c r="B170"/>
  <c r="B171"/>
  <c r="B174"/>
  <c r="B175"/>
  <c r="B176"/>
  <c r="B177"/>
  <c r="B178"/>
  <c r="B183"/>
  <c r="B184"/>
  <c r="B187"/>
  <c r="B188"/>
  <c r="B189"/>
  <c r="B190"/>
  <c r="B191"/>
  <c r="B192"/>
  <c r="B193"/>
  <c r="B196"/>
  <c r="B197"/>
  <c r="B198"/>
  <c r="B199"/>
  <c r="B200"/>
  <c r="B205"/>
  <c r="B206"/>
  <c r="B209"/>
  <c r="B210"/>
  <c r="B211"/>
  <c r="B212"/>
  <c r="B213"/>
  <c r="B214"/>
  <c r="B215"/>
  <c r="B218"/>
  <c r="B219"/>
  <c r="B220"/>
  <c r="B221"/>
  <c r="B222"/>
  <c r="B228"/>
  <c r="B231"/>
  <c r="B232"/>
  <c r="B233"/>
  <c r="B234"/>
  <c r="B235"/>
  <c r="B236"/>
  <c r="B239"/>
  <c r="B240"/>
  <c r="B245"/>
  <c r="B246"/>
  <c r="B247"/>
  <c r="B248"/>
  <c r="B249"/>
  <c r="B250"/>
  <c r="B251"/>
  <c r="B253"/>
  <c r="B254"/>
  <c r="B255"/>
  <c r="B256"/>
  <c r="B257"/>
  <c r="B260"/>
  <c r="B261"/>
  <c r="B262"/>
  <c r="B263"/>
  <c r="B264"/>
  <c r="B265"/>
  <c r="B266"/>
  <c r="B269"/>
  <c r="B270"/>
  <c r="B271"/>
  <c r="B272"/>
  <c r="B275"/>
  <c r="B276"/>
  <c r="B277"/>
  <c r="B102"/>
  <c r="AN49"/>
  <c r="AU49"/>
  <c r="AB64"/>
  <c r="AS57"/>
  <c r="AR57"/>
  <c r="AD67"/>
  <c r="AR19"/>
  <c r="AH415"/>
  <c r="AS32"/>
  <c r="AS417"/>
  <c r="AU36"/>
  <c r="AN44"/>
  <c r="AK46"/>
  <c r="AW46"/>
  <c r="AB46"/>
  <c r="AH50"/>
  <c r="AA50"/>
  <c r="AQ50"/>
  <c r="AN51"/>
  <c r="AK53"/>
  <c r="AW53"/>
  <c r="AB53"/>
  <c r="AW54"/>
  <c r="AB54"/>
  <c r="AL54"/>
  <c r="AT57"/>
  <c r="AQ65"/>
  <c r="AE67"/>
  <c r="AF67"/>
  <c r="AC67"/>
  <c r="AQ67"/>
  <c r="AK73"/>
  <c r="AW73"/>
  <c r="AB73"/>
  <c r="AK74"/>
  <c r="AW74"/>
  <c r="AB74"/>
  <c r="AM79"/>
  <c r="AT79"/>
  <c r="AM83"/>
  <c r="AT83"/>
  <c r="AU96"/>
  <c r="AN96"/>
  <c r="AW107"/>
  <c r="Z107"/>
  <c r="AH107"/>
  <c r="AA107"/>
  <c r="AL107"/>
  <c r="AM108"/>
  <c r="AT108"/>
  <c r="AL111"/>
  <c r="Z111"/>
  <c r="AK111"/>
  <c r="AW111"/>
  <c r="AB111"/>
  <c r="AM117"/>
  <c r="AT117"/>
  <c r="AP134"/>
  <c r="AO134"/>
  <c r="AM157"/>
  <c r="AT157"/>
  <c r="AN171"/>
  <c r="AU171"/>
  <c r="AK24"/>
  <c r="AW24"/>
  <c r="AT38"/>
  <c r="AK41"/>
  <c r="AM41"/>
  <c r="AW41"/>
  <c r="AB47"/>
  <c r="AQ47"/>
  <c r="AM50"/>
  <c r="AT50"/>
  <c r="AU63"/>
  <c r="AD65"/>
  <c r="AN72"/>
  <c r="AU72"/>
  <c r="AM76"/>
  <c r="AT76"/>
  <c r="AM80"/>
  <c r="AT80"/>
  <c r="AP91"/>
  <c r="AO91"/>
  <c r="AM97"/>
  <c r="AT97"/>
  <c r="AW98"/>
  <c r="AK98"/>
  <c r="Z98"/>
  <c r="AL98"/>
  <c r="AT103"/>
  <c r="AM103"/>
  <c r="AW104"/>
  <c r="Z104"/>
  <c r="AL104"/>
  <c r="AK104"/>
  <c r="AP106"/>
  <c r="AO106"/>
  <c r="AB106"/>
  <c r="AF109"/>
  <c r="AC109"/>
  <c r="AP110"/>
  <c r="AO110"/>
  <c r="AB110"/>
  <c r="AH116"/>
  <c r="AA116"/>
  <c r="AQ116"/>
  <c r="T437"/>
  <c r="T415"/>
  <c r="AP27"/>
  <c r="AP416"/>
  <c r="AL24"/>
  <c r="AM25"/>
  <c r="AT25"/>
  <c r="AN26"/>
  <c r="AM34"/>
  <c r="AT34"/>
  <c r="AS42"/>
  <c r="AS418"/>
  <c r="AN35"/>
  <c r="AK37"/>
  <c r="AW37"/>
  <c r="AB37"/>
  <c r="AL41"/>
  <c r="R42"/>
  <c r="AV452"/>
  <c r="AV418"/>
  <c r="AG87"/>
  <c r="AG419"/>
  <c r="AO87"/>
  <c r="AO419"/>
  <c r="AM54"/>
  <c r="AT54"/>
  <c r="AU56"/>
  <c r="AN57"/>
  <c r="AU57"/>
  <c r="AM61"/>
  <c r="AT61"/>
  <c r="AN62"/>
  <c r="AW69"/>
  <c r="AL69"/>
  <c r="W69"/>
  <c r="AB69"/>
  <c r="AS72"/>
  <c r="AR72"/>
  <c r="AM82"/>
  <c r="AT82"/>
  <c r="AM86"/>
  <c r="AT86"/>
  <c r="AU95"/>
  <c r="AN95"/>
  <c r="AT119"/>
  <c r="AM119"/>
  <c r="T421"/>
  <c r="AW185"/>
  <c r="AB10"/>
  <c r="Z10"/>
  <c r="AL17"/>
  <c r="AK17"/>
  <c r="AW17"/>
  <c r="AW447"/>
  <c r="Z17"/>
  <c r="AU18"/>
  <c r="AS415"/>
  <c r="AU23"/>
  <c r="AH24"/>
  <c r="AA24"/>
  <c r="AQ24"/>
  <c r="AK32"/>
  <c r="AK417"/>
  <c r="AW30"/>
  <c r="AL30"/>
  <c r="Z30"/>
  <c r="AH30"/>
  <c r="AA30"/>
  <c r="AQ30"/>
  <c r="AM31"/>
  <c r="AT31"/>
  <c r="AG42"/>
  <c r="AG418"/>
  <c r="AH34"/>
  <c r="AU40"/>
  <c r="AH41"/>
  <c r="AA41"/>
  <c r="AB41"/>
  <c r="AI87"/>
  <c r="AI419"/>
  <c r="AN46"/>
  <c r="AU46"/>
  <c r="AM47"/>
  <c r="AK49"/>
  <c r="AW49"/>
  <c r="AB49"/>
  <c r="AW50"/>
  <c r="AL50"/>
  <c r="AL52"/>
  <c r="AK52"/>
  <c r="AW52"/>
  <c r="AB52"/>
  <c r="AN53"/>
  <c r="AU53"/>
  <c r="AK58"/>
  <c r="AW58"/>
  <c r="AK59"/>
  <c r="AW59"/>
  <c r="AB59"/>
  <c r="AK69"/>
  <c r="AT72"/>
  <c r="AL73"/>
  <c r="AL74"/>
  <c r="AM81"/>
  <c r="AT81"/>
  <c r="AM85"/>
  <c r="AT85"/>
  <c r="R113"/>
  <c r="R127"/>
  <c r="AG127"/>
  <c r="AL91"/>
  <c r="AK91"/>
  <c r="AW91"/>
  <c r="AB91"/>
  <c r="AK92"/>
  <c r="AW92"/>
  <c r="Z92"/>
  <c r="AL92"/>
  <c r="AW93"/>
  <c r="AK93"/>
  <c r="Z93"/>
  <c r="AL93"/>
  <c r="AM94"/>
  <c r="AT94"/>
  <c r="AQ94"/>
  <c r="AB94"/>
  <c r="AA99"/>
  <c r="Z100"/>
  <c r="AU101"/>
  <c r="AN101"/>
  <c r="AH111"/>
  <c r="AF112"/>
  <c r="AC112"/>
  <c r="AD112"/>
  <c r="AN118"/>
  <c r="AU118"/>
  <c r="AM121"/>
  <c r="AT121"/>
  <c r="AV421"/>
  <c r="AT156"/>
  <c r="AM156"/>
  <c r="AM168"/>
  <c r="AT168"/>
  <c r="AL103"/>
  <c r="AV449"/>
  <c r="AV453"/>
  <c r="AV127"/>
  <c r="AH115"/>
  <c r="AK116"/>
  <c r="AE126"/>
  <c r="AE127"/>
  <c r="T438"/>
  <c r="T420"/>
  <c r="AO132"/>
  <c r="AW135"/>
  <c r="AL135"/>
  <c r="Z135"/>
  <c r="Z136"/>
  <c r="AH136"/>
  <c r="AK136"/>
  <c r="AW136"/>
  <c r="AO138"/>
  <c r="AL144"/>
  <c r="Z144"/>
  <c r="AH145"/>
  <c r="AA145"/>
  <c r="AQ145"/>
  <c r="AM148"/>
  <c r="AT148"/>
  <c r="AW151"/>
  <c r="AB151"/>
  <c r="AL151"/>
  <c r="Z151"/>
  <c r="AL158"/>
  <c r="W158"/>
  <c r="AK158"/>
  <c r="AW167"/>
  <c r="AB167"/>
  <c r="AL167"/>
  <c r="AG172"/>
  <c r="AL176"/>
  <c r="AG201"/>
  <c r="AH197"/>
  <c r="AA197"/>
  <c r="AQ197"/>
  <c r="AW206"/>
  <c r="AK206"/>
  <c r="Z206"/>
  <c r="AL206"/>
  <c r="AT213"/>
  <c r="AM213"/>
  <c r="AK252"/>
  <c r="AL252"/>
  <c r="Z252"/>
  <c r="AW252"/>
  <c r="AK15"/>
  <c r="AB18"/>
  <c r="AW18"/>
  <c r="AK22"/>
  <c r="AB23"/>
  <c r="AW23"/>
  <c r="AL25"/>
  <c r="AK26"/>
  <c r="AW29"/>
  <c r="AW32"/>
  <c r="AW417"/>
  <c r="AL31"/>
  <c r="R32"/>
  <c r="AL34"/>
  <c r="AK35"/>
  <c r="AB36"/>
  <c r="AW36"/>
  <c r="AL38"/>
  <c r="AK39"/>
  <c r="AB40"/>
  <c r="AW40"/>
  <c r="S452"/>
  <c r="S418"/>
  <c r="AK44"/>
  <c r="AL47"/>
  <c r="AK51"/>
  <c r="AB56"/>
  <c r="AW56"/>
  <c r="AL61"/>
  <c r="AK62"/>
  <c r="AB63"/>
  <c r="AW63"/>
  <c r="AW64"/>
  <c r="AW65"/>
  <c r="AW66"/>
  <c r="AW67"/>
  <c r="AW71"/>
  <c r="AL76"/>
  <c r="AL77"/>
  <c r="AL78"/>
  <c r="AL79"/>
  <c r="AL80"/>
  <c r="AL81"/>
  <c r="AL82"/>
  <c r="AL83"/>
  <c r="AL84"/>
  <c r="AL85"/>
  <c r="AL86"/>
  <c r="R87"/>
  <c r="AK90"/>
  <c r="AO94"/>
  <c r="AW95"/>
  <c r="AB96"/>
  <c r="AF96"/>
  <c r="AC96"/>
  <c r="AW96"/>
  <c r="Z97"/>
  <c r="AB101"/>
  <c r="AW101"/>
  <c r="AB102"/>
  <c r="AW102"/>
  <c r="Z103"/>
  <c r="AL105"/>
  <c r="AT105"/>
  <c r="AK106"/>
  <c r="AB109"/>
  <c r="AL109"/>
  <c r="AK110"/>
  <c r="AU115"/>
  <c r="Z116"/>
  <c r="AL116"/>
  <c r="AL126"/>
  <c r="AO117"/>
  <c r="AW118"/>
  <c r="AU119"/>
  <c r="Z120"/>
  <c r="AL120"/>
  <c r="AO121"/>
  <c r="AW124"/>
  <c r="AL124"/>
  <c r="Z124"/>
  <c r="AB124"/>
  <c r="AH124"/>
  <c r="AA124"/>
  <c r="AQ124"/>
  <c r="AM124"/>
  <c r="Z125"/>
  <c r="AK125"/>
  <c r="AW125"/>
  <c r="T450"/>
  <c r="K140"/>
  <c r="K160"/>
  <c r="AE140"/>
  <c r="AI140"/>
  <c r="AI160"/>
  <c r="AN133"/>
  <c r="AB136"/>
  <c r="AL136"/>
  <c r="AN139"/>
  <c r="I140"/>
  <c r="I160"/>
  <c r="AL145"/>
  <c r="Z145"/>
  <c r="AW145"/>
  <c r="AK145"/>
  <c r="AN146"/>
  <c r="AH148"/>
  <c r="AA148"/>
  <c r="AQ148"/>
  <c r="AN148"/>
  <c r="AR155"/>
  <c r="AB158"/>
  <c r="AT162"/>
  <c r="AR172"/>
  <c r="Z167"/>
  <c r="P179"/>
  <c r="R174"/>
  <c r="W176"/>
  <c r="AL183"/>
  <c r="AT184"/>
  <c r="AJ194"/>
  <c r="AW189"/>
  <c r="AK189"/>
  <c r="AB189"/>
  <c r="Z189"/>
  <c r="AH189"/>
  <c r="AA189"/>
  <c r="AQ189"/>
  <c r="AU192"/>
  <c r="AO193"/>
  <c r="AN196"/>
  <c r="AU211"/>
  <c r="AN211"/>
  <c r="AU215"/>
  <c r="AN215"/>
  <c r="AQ218"/>
  <c r="AB218"/>
  <c r="AG229"/>
  <c r="I258"/>
  <c r="I288"/>
  <c r="K245"/>
  <c r="K258"/>
  <c r="K288"/>
  <c r="AN247"/>
  <c r="AU247"/>
  <c r="AN248"/>
  <c r="AU248"/>
  <c r="AL15"/>
  <c r="AH22"/>
  <c r="AH26"/>
  <c r="AA26"/>
  <c r="AH35"/>
  <c r="AA35"/>
  <c r="AH39"/>
  <c r="AA39"/>
  <c r="T452"/>
  <c r="T418"/>
  <c r="AH44"/>
  <c r="AH51"/>
  <c r="AA51"/>
  <c r="AK56"/>
  <c r="AH62"/>
  <c r="AA62"/>
  <c r="AK63"/>
  <c r="AK71"/>
  <c r="S419"/>
  <c r="AL90"/>
  <c r="AK95"/>
  <c r="AO96"/>
  <c r="AW97"/>
  <c r="AK99"/>
  <c r="AO101"/>
  <c r="AO102"/>
  <c r="AB103"/>
  <c r="AW103"/>
  <c r="AL106"/>
  <c r="AH110"/>
  <c r="AL110"/>
  <c r="AJ126"/>
  <c r="AJ127"/>
  <c r="AR126"/>
  <c r="AR127"/>
  <c r="AA117"/>
  <c r="AK118"/>
  <c r="AH121"/>
  <c r="AA121"/>
  <c r="AK122"/>
  <c r="R140"/>
  <c r="AK131"/>
  <c r="Z131"/>
  <c r="AW131"/>
  <c r="Z137"/>
  <c r="AK137"/>
  <c r="AW137"/>
  <c r="AE152"/>
  <c r="AH143"/>
  <c r="AH146"/>
  <c r="AA146"/>
  <c r="AQ146"/>
  <c r="AP148"/>
  <c r="AL149"/>
  <c r="Z149"/>
  <c r="AH149"/>
  <c r="AA149"/>
  <c r="AW149"/>
  <c r="AK149"/>
  <c r="R152"/>
  <c r="AT154"/>
  <c r="AM154"/>
  <c r="P164"/>
  <c r="R163"/>
  <c r="AE172"/>
  <c r="AL172"/>
  <c r="AT169"/>
  <c r="AM169"/>
  <c r="AW171"/>
  <c r="AB171"/>
  <c r="AK171"/>
  <c r="Z171"/>
  <c r="AH171"/>
  <c r="AO179"/>
  <c r="AR175"/>
  <c r="AR178"/>
  <c r="Z183"/>
  <c r="R185"/>
  <c r="AK183"/>
  <c r="AU197"/>
  <c r="S242"/>
  <c r="S425"/>
  <c r="AU246"/>
  <c r="AN246"/>
  <c r="AL255"/>
  <c r="AW255"/>
  <c r="Z255"/>
  <c r="AB255"/>
  <c r="AK255"/>
  <c r="P371"/>
  <c r="P378"/>
  <c r="R370"/>
  <c r="AL97"/>
  <c r="S449"/>
  <c r="A449"/>
  <c r="S127"/>
  <c r="AP115"/>
  <c r="AK120"/>
  <c r="AL134"/>
  <c r="AW134"/>
  <c r="AB134"/>
  <c r="AH134"/>
  <c r="AH135"/>
  <c r="AA135"/>
  <c r="AH144"/>
  <c r="AA144"/>
  <c r="AQ144"/>
  <c r="AW144"/>
  <c r="AH151"/>
  <c r="AA151"/>
  <c r="AQ151"/>
  <c r="AW156"/>
  <c r="W156"/>
  <c r="AL156"/>
  <c r="W157"/>
  <c r="AL157"/>
  <c r="AI180"/>
  <c r="AI422"/>
  <c r="Z172"/>
  <c r="Z168"/>
  <c r="AB168"/>
  <c r="AW168"/>
  <c r="AL168"/>
  <c r="AW176"/>
  <c r="AK176"/>
  <c r="AU189"/>
  <c r="AN189"/>
  <c r="AE198"/>
  <c r="AF198"/>
  <c r="AC198"/>
  <c r="AD198"/>
  <c r="AM198"/>
  <c r="AT198"/>
  <c r="AO256"/>
  <c r="AP256"/>
  <c r="S437"/>
  <c r="S415"/>
  <c r="AV437"/>
  <c r="AV415"/>
  <c r="AH29"/>
  <c r="AT29"/>
  <c r="AB31"/>
  <c r="AB38"/>
  <c r="W56"/>
  <c r="AB61"/>
  <c r="W71"/>
  <c r="AB71"/>
  <c r="AB76"/>
  <c r="AB77"/>
  <c r="AB78"/>
  <c r="AB79"/>
  <c r="AB81"/>
  <c r="AB82"/>
  <c r="AB83"/>
  <c r="AB84"/>
  <c r="AB85"/>
  <c r="AB86"/>
  <c r="T419"/>
  <c r="Z90"/>
  <c r="Z95"/>
  <c r="AB95"/>
  <c r="Z99"/>
  <c r="AB99"/>
  <c r="AB105"/>
  <c r="AK115"/>
  <c r="AO115"/>
  <c r="Z118"/>
  <c r="Z122"/>
  <c r="AL122"/>
  <c r="AN123"/>
  <c r="AN125"/>
  <c r="AB131"/>
  <c r="AG140"/>
  <c r="AG160"/>
  <c r="AL131"/>
  <c r="AW132"/>
  <c r="AB132"/>
  <c r="AH132"/>
  <c r="AL132"/>
  <c r="AM132"/>
  <c r="Z133"/>
  <c r="AK133"/>
  <c r="AW133"/>
  <c r="AK134"/>
  <c r="AK135"/>
  <c r="AL137"/>
  <c r="AL138"/>
  <c r="AW138"/>
  <c r="AB138"/>
  <c r="AF138"/>
  <c r="AC138"/>
  <c r="AH138"/>
  <c r="AM138"/>
  <c r="AK139"/>
  <c r="Z139"/>
  <c r="AH139"/>
  <c r="AW139"/>
  <c r="S421"/>
  <c r="AL142"/>
  <c r="AW142"/>
  <c r="Z142"/>
  <c r="AK142"/>
  <c r="AK144"/>
  <c r="AW147"/>
  <c r="Z147"/>
  <c r="AL147"/>
  <c r="AM147"/>
  <c r="AO150"/>
  <c r="AH150"/>
  <c r="AA150"/>
  <c r="AP150"/>
  <c r="AK151"/>
  <c r="AG152"/>
  <c r="AB155"/>
  <c r="AH156"/>
  <c r="AA156"/>
  <c r="AQ156"/>
  <c r="AH157"/>
  <c r="AA157"/>
  <c r="AQ157"/>
  <c r="AW157"/>
  <c r="AH158"/>
  <c r="AA158"/>
  <c r="AQ158"/>
  <c r="AW158"/>
  <c r="AK159"/>
  <c r="AG180"/>
  <c r="AG422"/>
  <c r="AM166"/>
  <c r="AN166"/>
  <c r="AU166"/>
  <c r="AK167"/>
  <c r="AH168"/>
  <c r="AO169"/>
  <c r="AH170"/>
  <c r="AP170"/>
  <c r="AP179"/>
  <c r="AN175"/>
  <c r="AW178"/>
  <c r="AK178"/>
  <c r="AB178"/>
  <c r="AL178"/>
  <c r="AN187"/>
  <c r="AU187"/>
  <c r="AR194"/>
  <c r="AH188"/>
  <c r="AA188"/>
  <c r="AQ188"/>
  <c r="AP188"/>
  <c r="AP201"/>
  <c r="AT197"/>
  <c r="AM197"/>
  <c r="AS198"/>
  <c r="AR198"/>
  <c r="AU227"/>
  <c r="AU229"/>
  <c r="AL229"/>
  <c r="AN227"/>
  <c r="AM235"/>
  <c r="AT235"/>
  <c r="AT315"/>
  <c r="AM315"/>
  <c r="AJ152"/>
  <c r="AJ160"/>
  <c r="AR152"/>
  <c r="AM146"/>
  <c r="R159"/>
  <c r="AL154"/>
  <c r="W154"/>
  <c r="AM155"/>
  <c r="AU161"/>
  <c r="S180"/>
  <c r="S422"/>
  <c r="AT166"/>
  <c r="AB170"/>
  <c r="AL170"/>
  <c r="P172"/>
  <c r="AH175"/>
  <c r="AA175"/>
  <c r="AQ175"/>
  <c r="AM175"/>
  <c r="AW175"/>
  <c r="AT177"/>
  <c r="AR185"/>
  <c r="AL184"/>
  <c r="AW184"/>
  <c r="T202"/>
  <c r="T423"/>
  <c r="AT188"/>
  <c r="AL190"/>
  <c r="Z190"/>
  <c r="AW192"/>
  <c r="AB192"/>
  <c r="AK193"/>
  <c r="AW193"/>
  <c r="AK201"/>
  <c r="AM196"/>
  <c r="AL198"/>
  <c r="AL199"/>
  <c r="W199"/>
  <c r="AK199"/>
  <c r="R209"/>
  <c r="I216"/>
  <c r="I224"/>
  <c r="AH210"/>
  <c r="AA210"/>
  <c r="AQ210"/>
  <c r="AS216"/>
  <c r="AU219"/>
  <c r="AN220"/>
  <c r="AU220"/>
  <c r="AL221"/>
  <c r="AL223"/>
  <c r="W221"/>
  <c r="AK221"/>
  <c r="AW221"/>
  <c r="AO234"/>
  <c r="AL235"/>
  <c r="Z235"/>
  <c r="AW235"/>
  <c r="AW239"/>
  <c r="AW241"/>
  <c r="R241"/>
  <c r="AL239"/>
  <c r="W239"/>
  <c r="AM240"/>
  <c r="AT240"/>
  <c r="AJ258"/>
  <c r="AK251"/>
  <c r="AW251"/>
  <c r="AL251"/>
  <c r="AM260"/>
  <c r="AT260"/>
  <c r="AO331"/>
  <c r="AP331"/>
  <c r="AH331"/>
  <c r="AA331"/>
  <c r="AQ331"/>
  <c r="AN362"/>
  <c r="AU362"/>
  <c r="AJ202"/>
  <c r="AJ423"/>
  <c r="R194"/>
  <c r="AK187"/>
  <c r="AW187"/>
  <c r="AU188"/>
  <c r="AO192"/>
  <c r="AH193"/>
  <c r="AA193"/>
  <c r="AQ193"/>
  <c r="AL193"/>
  <c r="AS196"/>
  <c r="AR196"/>
  <c r="AW197"/>
  <c r="AW201"/>
  <c r="R201"/>
  <c r="AN205"/>
  <c r="AT212"/>
  <c r="AM212"/>
  <c r="AH214"/>
  <c r="AA214"/>
  <c r="AQ214"/>
  <c r="AO214"/>
  <c r="AT218"/>
  <c r="AM218"/>
  <c r="AS219"/>
  <c r="AR219"/>
  <c r="AE222"/>
  <c r="AF222"/>
  <c r="AC222"/>
  <c r="AD222"/>
  <c r="AB229"/>
  <c r="AF227"/>
  <c r="AN231"/>
  <c r="AU231"/>
  <c r="AM239"/>
  <c r="AM241"/>
  <c r="AK241"/>
  <c r="AT239"/>
  <c r="AD246"/>
  <c r="AK247"/>
  <c r="AW247"/>
  <c r="Z247"/>
  <c r="AB247"/>
  <c r="AW248"/>
  <c r="Z248"/>
  <c r="AK248"/>
  <c r="AW257"/>
  <c r="AL257"/>
  <c r="AK257"/>
  <c r="Z257"/>
  <c r="AB257"/>
  <c r="AG267"/>
  <c r="AH260"/>
  <c r="AH275"/>
  <c r="AK306"/>
  <c r="AW306"/>
  <c r="Z306"/>
  <c r="AL306"/>
  <c r="AL307"/>
  <c r="Z307"/>
  <c r="AW307"/>
  <c r="AB307"/>
  <c r="AK307"/>
  <c r="AW341"/>
  <c r="AL341"/>
  <c r="AH341"/>
  <c r="AA341"/>
  <c r="AQ341"/>
  <c r="AK341"/>
  <c r="W341"/>
  <c r="AS443"/>
  <c r="AS434"/>
  <c r="S450"/>
  <c r="A450"/>
  <c r="AV450"/>
  <c r="AH154"/>
  <c r="AW154"/>
  <c r="T451"/>
  <c r="AW166"/>
  <c r="R172"/>
  <c r="AH177"/>
  <c r="AA177"/>
  <c r="AW177"/>
  <c r="AB184"/>
  <c r="AH184"/>
  <c r="AV202"/>
  <c r="AV423"/>
  <c r="Z187"/>
  <c r="AE194"/>
  <c r="AI194"/>
  <c r="AI202"/>
  <c r="AI423"/>
  <c r="AW188"/>
  <c r="AM190"/>
  <c r="AB191"/>
  <c r="AK192"/>
  <c r="I194"/>
  <c r="I202"/>
  <c r="AA196"/>
  <c r="AT196"/>
  <c r="W197"/>
  <c r="AM200"/>
  <c r="AW205"/>
  <c r="R207"/>
  <c r="AK205"/>
  <c r="Z205"/>
  <c r="AB205"/>
  <c r="AU205"/>
  <c r="Z211"/>
  <c r="AW211"/>
  <c r="AK211"/>
  <c r="AW215"/>
  <c r="AK215"/>
  <c r="Z215"/>
  <c r="AR220"/>
  <c r="AS220"/>
  <c r="AH221"/>
  <c r="AA221"/>
  <c r="AQ221"/>
  <c r="AR229"/>
  <c r="AM228"/>
  <c r="AT228"/>
  <c r="AW231"/>
  <c r="R237"/>
  <c r="R242"/>
  <c r="AK231"/>
  <c r="Z231"/>
  <c r="AM233"/>
  <c r="AE237"/>
  <c r="AH239"/>
  <c r="AG241"/>
  <c r="AO241"/>
  <c r="Z249"/>
  <c r="AW249"/>
  <c r="AL249"/>
  <c r="AN263"/>
  <c r="AU263"/>
  <c r="AN266"/>
  <c r="AU266"/>
  <c r="AI273"/>
  <c r="AM271"/>
  <c r="AS285"/>
  <c r="AR285"/>
  <c r="AN327"/>
  <c r="AU327"/>
  <c r="AN200"/>
  <c r="AR200"/>
  <c r="AE216"/>
  <c r="AI216"/>
  <c r="AI224"/>
  <c r="AI424"/>
  <c r="AW210"/>
  <c r="AM210"/>
  <c r="AH212"/>
  <c r="AA212"/>
  <c r="AQ212"/>
  <c r="R223"/>
  <c r="AW220"/>
  <c r="AB220"/>
  <c r="AK220"/>
  <c r="AM227"/>
  <c r="AM229"/>
  <c r="AT227"/>
  <c r="AG237"/>
  <c r="AL232"/>
  <c r="Z232"/>
  <c r="AK232"/>
  <c r="AW234"/>
  <c r="AB234"/>
  <c r="AJ241"/>
  <c r="AJ242"/>
  <c r="AJ425"/>
  <c r="AL240"/>
  <c r="W240"/>
  <c r="AA240"/>
  <c r="AQ240"/>
  <c r="AP246"/>
  <c r="AO246"/>
  <c r="AL250"/>
  <c r="AK256"/>
  <c r="AW256"/>
  <c r="AL256"/>
  <c r="AB256"/>
  <c r="AN260"/>
  <c r="AO261"/>
  <c r="AK262"/>
  <c r="AL262"/>
  <c r="Z262"/>
  <c r="R267"/>
  <c r="AW262"/>
  <c r="AU264"/>
  <c r="AN264"/>
  <c r="AO272"/>
  <c r="AP272"/>
  <c r="AE277"/>
  <c r="AF277"/>
  <c r="AC277"/>
  <c r="AD277"/>
  <c r="AL283"/>
  <c r="W283"/>
  <c r="R287"/>
  <c r="AW283"/>
  <c r="AK283"/>
  <c r="AU292"/>
  <c r="AM304"/>
  <c r="AT304"/>
  <c r="AF312"/>
  <c r="AC312"/>
  <c r="AD312"/>
  <c r="AH317"/>
  <c r="AA317"/>
  <c r="AQ317"/>
  <c r="AG320"/>
  <c r="AT358"/>
  <c r="AM358"/>
  <c r="AW263"/>
  <c r="AK263"/>
  <c r="Z263"/>
  <c r="AH263"/>
  <c r="AA263"/>
  <c r="AQ263"/>
  <c r="AM264"/>
  <c r="AT264"/>
  <c r="AT279"/>
  <c r="AM279"/>
  <c r="AG287"/>
  <c r="AH283"/>
  <c r="AN285"/>
  <c r="AU285"/>
  <c r="AO295"/>
  <c r="AP295"/>
  <c r="AH295"/>
  <c r="AA295"/>
  <c r="AN303"/>
  <c r="AU303"/>
  <c r="AU305"/>
  <c r="AN305"/>
  <c r="AN357"/>
  <c r="AU357"/>
  <c r="AB200"/>
  <c r="G224"/>
  <c r="T224"/>
  <c r="T424"/>
  <c r="AL212"/>
  <c r="Z212"/>
  <c r="AW214"/>
  <c r="AB214"/>
  <c r="W223"/>
  <c r="W224"/>
  <c r="AU226"/>
  <c r="AD228"/>
  <c r="AH228"/>
  <c r="AH229"/>
  <c r="AN228"/>
  <c r="AW232"/>
  <c r="AP233"/>
  <c r="AN234"/>
  <c r="AU234"/>
  <c r="AH235"/>
  <c r="AA235"/>
  <c r="AQ235"/>
  <c r="AM236"/>
  <c r="AR258"/>
  <c r="AW253"/>
  <c r="AK253"/>
  <c r="Z253"/>
  <c r="AL253"/>
  <c r="AI267"/>
  <c r="AA269"/>
  <c r="AB269"/>
  <c r="AN269"/>
  <c r="AU269"/>
  <c r="AW275"/>
  <c r="R281"/>
  <c r="W275"/>
  <c r="AL275"/>
  <c r="AK275"/>
  <c r="AM276"/>
  <c r="AT276"/>
  <c r="AM280"/>
  <c r="AT280"/>
  <c r="AW296"/>
  <c r="Z296"/>
  <c r="AR313"/>
  <c r="AE348"/>
  <c r="AE429"/>
  <c r="AK348"/>
  <c r="AK429"/>
  <c r="AM347"/>
  <c r="AM348"/>
  <c r="AM429"/>
  <c r="AT347"/>
  <c r="AT348"/>
  <c r="AT429"/>
  <c r="AG355"/>
  <c r="AG367"/>
  <c r="AM365"/>
  <c r="AM366"/>
  <c r="AK366"/>
  <c r="AT365"/>
  <c r="AT366"/>
  <c r="AD374"/>
  <c r="AF374"/>
  <c r="AC374"/>
  <c r="AP376"/>
  <c r="AO376"/>
  <c r="AW280"/>
  <c r="AL280"/>
  <c r="W280"/>
  <c r="AT284"/>
  <c r="AM284"/>
  <c r="AR286"/>
  <c r="AS286"/>
  <c r="AE299"/>
  <c r="AJ299"/>
  <c r="AJ321"/>
  <c r="AJ427"/>
  <c r="AW293"/>
  <c r="AB293"/>
  <c r="Z293"/>
  <c r="AL293"/>
  <c r="AK293"/>
  <c r="AF295"/>
  <c r="AC295"/>
  <c r="AU295"/>
  <c r="AM297"/>
  <c r="AT297"/>
  <c r="AF302"/>
  <c r="AC302"/>
  <c r="Z304"/>
  <c r="AL304"/>
  <c r="AW304"/>
  <c r="AH304"/>
  <c r="AF309"/>
  <c r="AC309"/>
  <c r="AE313"/>
  <c r="AN318"/>
  <c r="AU318"/>
  <c r="AE328"/>
  <c r="AW327"/>
  <c r="AK327"/>
  <c r="Z327"/>
  <c r="AH327"/>
  <c r="AA327"/>
  <c r="AQ327"/>
  <c r="AI328"/>
  <c r="AW332"/>
  <c r="AK332"/>
  <c r="Z332"/>
  <c r="AH332"/>
  <c r="AA332"/>
  <c r="AQ332"/>
  <c r="AU333"/>
  <c r="AN333"/>
  <c r="AM333"/>
  <c r="AT333"/>
  <c r="AS338"/>
  <c r="AR338"/>
  <c r="AJ343"/>
  <c r="AJ344"/>
  <c r="AW342"/>
  <c r="AL342"/>
  <c r="AH342"/>
  <c r="AA342"/>
  <c r="AQ342"/>
  <c r="AK342"/>
  <c r="W342"/>
  <c r="AH357"/>
  <c r="AP361"/>
  <c r="AO361"/>
  <c r="AB361"/>
  <c r="AT373"/>
  <c r="AT405"/>
  <c r="AN316"/>
  <c r="AU316"/>
  <c r="AR318"/>
  <c r="AS318"/>
  <c r="AL319"/>
  <c r="W319"/>
  <c r="AW319"/>
  <c r="AN332"/>
  <c r="AU332"/>
  <c r="AE338"/>
  <c r="T428"/>
  <c r="T349"/>
  <c r="T440"/>
  <c r="AP357"/>
  <c r="Z363"/>
  <c r="AS378"/>
  <c r="AS431"/>
  <c r="AK377"/>
  <c r="AK384"/>
  <c r="R392"/>
  <c r="AW384"/>
  <c r="AB384"/>
  <c r="AH384"/>
  <c r="Z384"/>
  <c r="AL384"/>
  <c r="AD386"/>
  <c r="AH391"/>
  <c r="AA391"/>
  <c r="AQ391"/>
  <c r="AR443"/>
  <c r="AR434"/>
  <c r="AN272"/>
  <c r="AU272"/>
  <c r="AP281"/>
  <c r="AH280"/>
  <c r="AA280"/>
  <c r="AQ280"/>
  <c r="AN286"/>
  <c r="AU286"/>
  <c r="AK292"/>
  <c r="AW292"/>
  <c r="Z292"/>
  <c r="AT295"/>
  <c r="AM295"/>
  <c r="Z297"/>
  <c r="AL297"/>
  <c r="AW297"/>
  <c r="AB297"/>
  <c r="P299"/>
  <c r="AI313"/>
  <c r="AI321"/>
  <c r="AI427"/>
  <c r="AD308"/>
  <c r="AL317"/>
  <c r="W317"/>
  <c r="AK317"/>
  <c r="AW317"/>
  <c r="AK319"/>
  <c r="AL330"/>
  <c r="Z330"/>
  <c r="AW330"/>
  <c r="AK330"/>
  <c r="R336"/>
  <c r="AI336"/>
  <c r="AM334"/>
  <c r="AN335"/>
  <c r="AU335"/>
  <c r="Z348"/>
  <c r="Z349"/>
  <c r="AO347"/>
  <c r="AO348"/>
  <c r="AO429"/>
  <c r="AP347"/>
  <c r="AP348"/>
  <c r="AP429"/>
  <c r="AV367"/>
  <c r="AM360"/>
  <c r="AT360"/>
  <c r="AM381"/>
  <c r="AM382"/>
  <c r="AT381"/>
  <c r="AT382"/>
  <c r="AK382"/>
  <c r="AJ392"/>
  <c r="AJ396"/>
  <c r="AJ432"/>
  <c r="AS218"/>
  <c r="AB219"/>
  <c r="AW219"/>
  <c r="AW223"/>
  <c r="AP227"/>
  <c r="AP229"/>
  <c r="AW233"/>
  <c r="AO236"/>
  <c r="AK246"/>
  <c r="AL254"/>
  <c r="AW254"/>
  <c r="AW260"/>
  <c r="AW267"/>
  <c r="AK261"/>
  <c r="AW261"/>
  <c r="AH266"/>
  <c r="AA266"/>
  <c r="AW269"/>
  <c r="AO281"/>
  <c r="AS279"/>
  <c r="AR279"/>
  <c r="AO287"/>
  <c r="AS299"/>
  <c r="AF298"/>
  <c r="AC298"/>
  <c r="AU298"/>
  <c r="S321"/>
  <c r="S427"/>
  <c r="P301"/>
  <c r="P313"/>
  <c r="AK302"/>
  <c r="AW302"/>
  <c r="AB302"/>
  <c r="AL302"/>
  <c r="AP305"/>
  <c r="AO305"/>
  <c r="AK309"/>
  <c r="AW309"/>
  <c r="AB309"/>
  <c r="AL309"/>
  <c r="AL315"/>
  <c r="W315"/>
  <c r="AW315"/>
  <c r="AO320"/>
  <c r="AT318"/>
  <c r="R320"/>
  <c r="AD333"/>
  <c r="AM338"/>
  <c r="AW343"/>
  <c r="AS340"/>
  <c r="AB340"/>
  <c r="AR340"/>
  <c r="AG348"/>
  <c r="AG429"/>
  <c r="AH347"/>
  <c r="AV349"/>
  <c r="AV440"/>
  <c r="AJ367"/>
  <c r="AL358"/>
  <c r="AL363"/>
  <c r="Z358"/>
  <c r="AW358"/>
  <c r="AW359"/>
  <c r="AL359"/>
  <c r="AH359"/>
  <c r="AA359"/>
  <c r="AQ359"/>
  <c r="AK359"/>
  <c r="AO362"/>
  <c r="AB362"/>
  <c r="Z373"/>
  <c r="AL373"/>
  <c r="R377"/>
  <c r="AW373"/>
  <c r="AH373"/>
  <c r="AH374"/>
  <c r="AE377"/>
  <c r="AM376"/>
  <c r="AM377"/>
  <c r="AT376"/>
  <c r="AF386"/>
  <c r="AC386"/>
  <c r="AH388"/>
  <c r="AA388"/>
  <c r="AQ388"/>
  <c r="Z400"/>
  <c r="R401"/>
  <c r="AL400"/>
  <c r="AK400"/>
  <c r="AE407"/>
  <c r="AG406"/>
  <c r="AB404"/>
  <c r="AW404"/>
  <c r="AW406"/>
  <c r="Z404"/>
  <c r="AL404"/>
  <c r="AK404"/>
  <c r="AT409"/>
  <c r="AK412"/>
  <c r="AM409"/>
  <c r="AK219"/>
  <c r="AH236"/>
  <c r="AA236"/>
  <c r="AE258"/>
  <c r="AI258"/>
  <c r="AI288"/>
  <c r="AI426"/>
  <c r="AS267"/>
  <c r="AH261"/>
  <c r="AA261"/>
  <c r="AL265"/>
  <c r="Z265"/>
  <c r="AH265"/>
  <c r="AA265"/>
  <c r="AQ265"/>
  <c r="AG273"/>
  <c r="AM269"/>
  <c r="AL270"/>
  <c r="Z270"/>
  <c r="AK270"/>
  <c r="AF272"/>
  <c r="AC272"/>
  <c r="AJ281"/>
  <c r="AL276"/>
  <c r="W276"/>
  <c r="AH276"/>
  <c r="AA276"/>
  <c r="AQ276"/>
  <c r="AJ287"/>
  <c r="AD284"/>
  <c r="AW286"/>
  <c r="AB286"/>
  <c r="AK286"/>
  <c r="R291"/>
  <c r="Z294"/>
  <c r="AL294"/>
  <c r="AK294"/>
  <c r="AH302"/>
  <c r="AW303"/>
  <c r="Z303"/>
  <c r="AK303"/>
  <c r="AD305"/>
  <c r="AH307"/>
  <c r="AA307"/>
  <c r="AP308"/>
  <c r="AO308"/>
  <c r="AH309"/>
  <c r="AW310"/>
  <c r="AK310"/>
  <c r="Z310"/>
  <c r="AL310"/>
  <c r="AP320"/>
  <c r="AW316"/>
  <c r="AB316"/>
  <c r="AK316"/>
  <c r="W316"/>
  <c r="AH316"/>
  <c r="AA316"/>
  <c r="AQ316"/>
  <c r="AL325"/>
  <c r="Z325"/>
  <c r="R328"/>
  <c r="AW325"/>
  <c r="AK325"/>
  <c r="AR328"/>
  <c r="AO326"/>
  <c r="AP326"/>
  <c r="AH326"/>
  <c r="AA326"/>
  <c r="AQ326"/>
  <c r="AU338"/>
  <c r="AN338"/>
  <c r="AA343"/>
  <c r="AQ338"/>
  <c r="AQ343"/>
  <c r="AI367"/>
  <c r="Z360"/>
  <c r="AB360"/>
  <c r="AW360"/>
  <c r="AL360"/>
  <c r="AH361"/>
  <c r="P363"/>
  <c r="AE365"/>
  <c r="AB366"/>
  <c r="S441"/>
  <c r="S430"/>
  <c r="AR378"/>
  <c r="AR431"/>
  <c r="AP374"/>
  <c r="AO374"/>
  <c r="AF375"/>
  <c r="AC375"/>
  <c r="AD375"/>
  <c r="AN390"/>
  <c r="AU390"/>
  <c r="AW391"/>
  <c r="AL391"/>
  <c r="AK391"/>
  <c r="Z391"/>
  <c r="AC399"/>
  <c r="AJ433"/>
  <c r="AJ442"/>
  <c r="AO271"/>
  <c r="AB272"/>
  <c r="AW272"/>
  <c r="AB279"/>
  <c r="AW279"/>
  <c r="AB285"/>
  <c r="AW285"/>
  <c r="AB295"/>
  <c r="AW295"/>
  <c r="AB298"/>
  <c r="AW298"/>
  <c r="AV321"/>
  <c r="AV427"/>
  <c r="AG313"/>
  <c r="AG321"/>
  <c r="AG427"/>
  <c r="AS313"/>
  <c r="AK305"/>
  <c r="AK308"/>
  <c r="AH312"/>
  <c r="AW312"/>
  <c r="AH315"/>
  <c r="AH319"/>
  <c r="AA319"/>
  <c r="AQ319"/>
  <c r="AH335"/>
  <c r="AA335"/>
  <c r="AS355"/>
  <c r="AS367"/>
  <c r="AI363"/>
  <c r="AE363"/>
  <c r="AA366"/>
  <c r="AQ365"/>
  <c r="AQ366"/>
  <c r="AE371"/>
  <c r="AE378"/>
  <c r="AE431"/>
  <c r="AH376"/>
  <c r="AE392"/>
  <c r="AF384"/>
  <c r="AF387"/>
  <c r="AC387"/>
  <c r="AO390"/>
  <c r="AP390"/>
  <c r="AH390"/>
  <c r="AA390"/>
  <c r="AQ390"/>
  <c r="AT408"/>
  <c r="AM408"/>
  <c r="AN410"/>
  <c r="AU410"/>
  <c r="AG412"/>
  <c r="AH271"/>
  <c r="AA271"/>
  <c r="AH305"/>
  <c r="AH308"/>
  <c r="AL311"/>
  <c r="Z311"/>
  <c r="P320"/>
  <c r="AW318"/>
  <c r="AB318"/>
  <c r="AT323"/>
  <c r="AG328"/>
  <c r="AH325"/>
  <c r="S428"/>
  <c r="S349"/>
  <c r="S440"/>
  <c r="AG336"/>
  <c r="AH330"/>
  <c r="AL334"/>
  <c r="Z334"/>
  <c r="R343"/>
  <c r="AL339"/>
  <c r="AL343"/>
  <c r="W339"/>
  <c r="P355"/>
  <c r="R353"/>
  <c r="Z354"/>
  <c r="AW354"/>
  <c r="AL354"/>
  <c r="AK354"/>
  <c r="T367"/>
  <c r="AW357"/>
  <c r="AB357"/>
  <c r="AG363"/>
  <c r="AK357"/>
  <c r="AS365"/>
  <c r="AS366"/>
  <c r="W366"/>
  <c r="W367"/>
  <c r="AR365"/>
  <c r="AR366"/>
  <c r="AR367"/>
  <c r="AW376"/>
  <c r="AB376"/>
  <c r="AL376"/>
  <c r="R382"/>
  <c r="R396"/>
  <c r="AW381"/>
  <c r="AW382"/>
  <c r="AB381"/>
  <c r="Z381"/>
  <c r="AH381"/>
  <c r="AH382"/>
  <c r="AL381"/>
  <c r="AL385"/>
  <c r="Z385"/>
  <c r="AW385"/>
  <c r="AK385"/>
  <c r="AE394"/>
  <c r="AU399"/>
  <c r="AN399"/>
  <c r="AH404"/>
  <c r="AN405"/>
  <c r="AU405"/>
  <c r="S433"/>
  <c r="S442"/>
  <c r="AV433"/>
  <c r="AV442"/>
  <c r="AA411"/>
  <c r="AB411"/>
  <c r="AF411"/>
  <c r="AI343"/>
  <c r="AW347"/>
  <c r="AW348"/>
  <c r="AW429"/>
  <c r="AH358"/>
  <c r="AA358"/>
  <c r="AN361"/>
  <c r="AH362"/>
  <c r="AW362"/>
  <c r="AL365"/>
  <c r="AR377"/>
  <c r="AN374"/>
  <c r="AH375"/>
  <c r="AW375"/>
  <c r="S396"/>
  <c r="S432"/>
  <c r="AV396"/>
  <c r="AV432"/>
  <c r="AK387"/>
  <c r="AW387"/>
  <c r="AB387"/>
  <c r="AL387"/>
  <c r="AK395"/>
  <c r="AM399"/>
  <c r="AT399"/>
  <c r="AR407"/>
  <c r="AI407"/>
  <c r="AE406"/>
  <c r="AV443"/>
  <c r="AV434"/>
  <c r="T396"/>
  <c r="T432"/>
  <c r="AI392"/>
  <c r="AI396"/>
  <c r="AI432"/>
  <c r="AH385"/>
  <c r="AA385"/>
  <c r="AB385"/>
  <c r="AP386"/>
  <c r="AO386"/>
  <c r="AH387"/>
  <c r="AL388"/>
  <c r="Z388"/>
  <c r="AK388"/>
  <c r="AG392"/>
  <c r="AG396"/>
  <c r="AG432"/>
  <c r="AD399"/>
  <c r="AG401"/>
  <c r="AG407"/>
  <c r="AH399"/>
  <c r="AL403"/>
  <c r="Z403"/>
  <c r="AK403"/>
  <c r="AS406"/>
  <c r="AS407"/>
  <c r="R406"/>
  <c r="AK386"/>
  <c r="AO389"/>
  <c r="AB390"/>
  <c r="AF390"/>
  <c r="AC390"/>
  <c r="AW390"/>
  <c r="AS394"/>
  <c r="AS395"/>
  <c r="AS396"/>
  <c r="AS432"/>
  <c r="AI412"/>
  <c r="AH410"/>
  <c r="AA410"/>
  <c r="AH386"/>
  <c r="AH389"/>
  <c r="AA389"/>
  <c r="T433"/>
  <c r="T442"/>
  <c r="AW405"/>
  <c r="AB405"/>
  <c r="R412"/>
  <c r="AL409"/>
  <c r="Z409"/>
  <c r="AE412"/>
  <c r="AW412"/>
  <c r="T434"/>
  <c r="T443"/>
  <c r="S443"/>
  <c r="A446"/>
  <c r="T453"/>
  <c r="A451"/>
  <c r="AB46" i="21"/>
  <c r="AQ46"/>
  <c r="AN106"/>
  <c r="AU106"/>
  <c r="AX41"/>
  <c r="BA41"/>
  <c r="AE41"/>
  <c r="AF41"/>
  <c r="AC41"/>
  <c r="AD41"/>
  <c r="B103"/>
  <c r="B104"/>
  <c r="B105"/>
  <c r="B106"/>
  <c r="B107"/>
  <c r="B108"/>
  <c r="B109"/>
  <c r="B110"/>
  <c r="B111"/>
  <c r="B112"/>
  <c r="B115"/>
  <c r="B116"/>
  <c r="B117"/>
  <c r="B118"/>
  <c r="B119"/>
  <c r="B120"/>
  <c r="B121"/>
  <c r="B122"/>
  <c r="B123"/>
  <c r="B124"/>
  <c r="B125"/>
  <c r="B131"/>
  <c r="B132"/>
  <c r="B133"/>
  <c r="B134"/>
  <c r="B135"/>
  <c r="B136"/>
  <c r="B138"/>
  <c r="B139"/>
  <c r="B142"/>
  <c r="B143"/>
  <c r="B144"/>
  <c r="B145"/>
  <c r="B146"/>
  <c r="B147"/>
  <c r="B148"/>
  <c r="B149"/>
  <c r="B150"/>
  <c r="B151"/>
  <c r="B154"/>
  <c r="B155"/>
  <c r="B156"/>
  <c r="B157"/>
  <c r="B158"/>
  <c r="B163"/>
  <c r="B166"/>
  <c r="B167"/>
  <c r="B168"/>
  <c r="B169"/>
  <c r="B170"/>
  <c r="B171"/>
  <c r="B174"/>
  <c r="B175"/>
  <c r="B176"/>
  <c r="B177"/>
  <c r="B178"/>
  <c r="B183"/>
  <c r="B184"/>
  <c r="B187"/>
  <c r="B188"/>
  <c r="B189"/>
  <c r="B190"/>
  <c r="B191"/>
  <c r="B192"/>
  <c r="B193"/>
  <c r="B196"/>
  <c r="B197"/>
  <c r="B198"/>
  <c r="B199"/>
  <c r="B200"/>
  <c r="B205"/>
  <c r="B206"/>
  <c r="B209"/>
  <c r="B210"/>
  <c r="B211"/>
  <c r="B212"/>
  <c r="B213"/>
  <c r="B214"/>
  <c r="B215"/>
  <c r="B218"/>
  <c r="B219"/>
  <c r="B220"/>
  <c r="B221"/>
  <c r="B222"/>
  <c r="B228"/>
  <c r="B231"/>
  <c r="B232"/>
  <c r="B233"/>
  <c r="B234"/>
  <c r="B235"/>
  <c r="B236"/>
  <c r="B239"/>
  <c r="B240"/>
  <c r="B245"/>
  <c r="B246"/>
  <c r="B247"/>
  <c r="B248"/>
  <c r="B249"/>
  <c r="B250"/>
  <c r="B251"/>
  <c r="B253"/>
  <c r="B254"/>
  <c r="B255"/>
  <c r="B256"/>
  <c r="B257"/>
  <c r="B260"/>
  <c r="B261"/>
  <c r="B262"/>
  <c r="B263"/>
  <c r="B264"/>
  <c r="B265"/>
  <c r="B266"/>
  <c r="B269"/>
  <c r="B270"/>
  <c r="B271"/>
  <c r="B272"/>
  <c r="B275"/>
  <c r="B276"/>
  <c r="B277"/>
  <c r="B102"/>
  <c r="AB74"/>
  <c r="AQ74"/>
  <c r="AU93"/>
  <c r="AN93"/>
  <c r="AT94"/>
  <c r="AM94"/>
  <c r="AQ59"/>
  <c r="AB37"/>
  <c r="AQ37"/>
  <c r="AN38"/>
  <c r="AU38"/>
  <c r="AB24"/>
  <c r="AN76"/>
  <c r="AU76"/>
  <c r="AN77"/>
  <c r="AU77"/>
  <c r="AU79"/>
  <c r="AN79"/>
  <c r="AN81"/>
  <c r="AU81"/>
  <c r="AU84"/>
  <c r="AN84"/>
  <c r="AN86"/>
  <c r="AU86"/>
  <c r="AU98"/>
  <c r="AN98"/>
  <c r="AW15"/>
  <c r="AY15"/>
  <c r="AB15"/>
  <c r="AD15"/>
  <c r="AE15"/>
  <c r="AF15"/>
  <c r="AL15"/>
  <c r="AQ18"/>
  <c r="AQ19"/>
  <c r="AA34"/>
  <c r="AK78"/>
  <c r="AW78"/>
  <c r="AY78"/>
  <c r="AK80"/>
  <c r="AW80"/>
  <c r="AY80"/>
  <c r="AK82"/>
  <c r="AW82"/>
  <c r="AY82"/>
  <c r="AK83"/>
  <c r="AW83"/>
  <c r="AY83"/>
  <c r="AK85"/>
  <c r="AW85"/>
  <c r="AY85"/>
  <c r="AP92"/>
  <c r="AO92"/>
  <c r="AP97"/>
  <c r="AO97"/>
  <c r="AH123"/>
  <c r="AV438"/>
  <c r="AV420"/>
  <c r="AP133"/>
  <c r="AB133"/>
  <c r="AF133"/>
  <c r="AC133"/>
  <c r="AO133"/>
  <c r="AO193"/>
  <c r="AP193"/>
  <c r="AM252"/>
  <c r="AT252"/>
  <c r="AK17"/>
  <c r="AL17"/>
  <c r="AE23"/>
  <c r="AF23"/>
  <c r="AC23"/>
  <c r="AU24"/>
  <c r="AM26"/>
  <c r="AU41"/>
  <c r="AN41"/>
  <c r="AM44"/>
  <c r="AT44"/>
  <c r="AL53"/>
  <c r="AW53"/>
  <c r="AY53"/>
  <c r="AB53"/>
  <c r="AK53"/>
  <c r="AK61"/>
  <c r="AW61"/>
  <c r="AY61"/>
  <c r="AB61"/>
  <c r="AE113"/>
  <c r="AM101"/>
  <c r="AH111"/>
  <c r="AT116"/>
  <c r="AW135"/>
  <c r="AY135"/>
  <c r="AB135"/>
  <c r="AL135"/>
  <c r="Z135"/>
  <c r="Z136"/>
  <c r="AL136"/>
  <c r="AK136"/>
  <c r="Z137"/>
  <c r="AK137"/>
  <c r="AL137"/>
  <c r="AM144"/>
  <c r="AT154"/>
  <c r="AW163"/>
  <c r="Z163"/>
  <c r="AL163"/>
  <c r="AK163"/>
  <c r="R164"/>
  <c r="AB10"/>
  <c r="Z10"/>
  <c r="AB18"/>
  <c r="Z32"/>
  <c r="AO30"/>
  <c r="AO32"/>
  <c r="AO417"/>
  <c r="AH30"/>
  <c r="AA30"/>
  <c r="AQ30"/>
  <c r="AP30"/>
  <c r="AP32"/>
  <c r="AP417"/>
  <c r="AK31"/>
  <c r="AW31"/>
  <c r="AY31"/>
  <c r="AB31"/>
  <c r="AJ42"/>
  <c r="AJ418"/>
  <c r="AR42"/>
  <c r="AR418"/>
  <c r="AB36"/>
  <c r="AU37"/>
  <c r="AG42"/>
  <c r="AG418"/>
  <c r="AG87"/>
  <c r="AG419"/>
  <c r="AH44"/>
  <c r="AJ87"/>
  <c r="AJ419"/>
  <c r="AK50"/>
  <c r="AW50"/>
  <c r="AY50"/>
  <c r="AB50"/>
  <c r="AW51"/>
  <c r="AY51"/>
  <c r="AB51"/>
  <c r="AL51"/>
  <c r="AB56"/>
  <c r="AU57"/>
  <c r="AU59"/>
  <c r="AN65"/>
  <c r="AN69"/>
  <c r="AW70"/>
  <c r="AY70"/>
  <c r="AL70"/>
  <c r="W70"/>
  <c r="AB70"/>
  <c r="AL78"/>
  <c r="AL80"/>
  <c r="AL82"/>
  <c r="AL83"/>
  <c r="AL85"/>
  <c r="AP96"/>
  <c r="AO96"/>
  <c r="AH97"/>
  <c r="AI126"/>
  <c r="AH116"/>
  <c r="AA116"/>
  <c r="AQ116"/>
  <c r="AP116"/>
  <c r="AW117"/>
  <c r="AY117"/>
  <c r="Z117"/>
  <c r="AH117"/>
  <c r="AA117"/>
  <c r="AQ117"/>
  <c r="AL117"/>
  <c r="AP125"/>
  <c r="S450"/>
  <c r="A450"/>
  <c r="S127"/>
  <c r="K140"/>
  <c r="K160"/>
  <c r="R131"/>
  <c r="Z132"/>
  <c r="AK132"/>
  <c r="AL132"/>
  <c r="AB136"/>
  <c r="AB137"/>
  <c r="AJ152"/>
  <c r="AU161"/>
  <c r="AN162"/>
  <c r="AU162"/>
  <c r="AM177"/>
  <c r="AT177"/>
  <c r="AM196"/>
  <c r="AT196"/>
  <c r="AN214"/>
  <c r="AU214"/>
  <c r="AN215"/>
  <c r="AU215"/>
  <c r="AN220"/>
  <c r="AU220"/>
  <c r="AO246"/>
  <c r="AP246"/>
  <c r="AW247"/>
  <c r="AY247"/>
  <c r="AL247"/>
  <c r="AK247"/>
  <c r="Z247"/>
  <c r="AK15"/>
  <c r="AL32"/>
  <c r="AL417"/>
  <c r="AN31"/>
  <c r="AU31"/>
  <c r="AK38"/>
  <c r="AW38"/>
  <c r="AY38"/>
  <c r="AL49"/>
  <c r="AW49"/>
  <c r="AY49"/>
  <c r="AK49"/>
  <c r="AU50"/>
  <c r="AN50"/>
  <c r="AU58"/>
  <c r="AE65"/>
  <c r="AF65"/>
  <c r="AC65"/>
  <c r="AD65"/>
  <c r="AS69"/>
  <c r="AR69"/>
  <c r="AM71"/>
  <c r="AT71"/>
  <c r="AK76"/>
  <c r="AW76"/>
  <c r="AY76"/>
  <c r="AK77"/>
  <c r="AW77"/>
  <c r="AY77"/>
  <c r="AK79"/>
  <c r="AW79"/>
  <c r="AY79"/>
  <c r="AK81"/>
  <c r="AW81"/>
  <c r="AY81"/>
  <c r="AK84"/>
  <c r="AW84"/>
  <c r="AY84"/>
  <c r="AK86"/>
  <c r="AW86"/>
  <c r="AY86"/>
  <c r="AW94"/>
  <c r="AY94"/>
  <c r="AL94"/>
  <c r="Z94"/>
  <c r="AB99"/>
  <c r="AL99"/>
  <c r="AW99"/>
  <c r="AY99"/>
  <c r="Z99"/>
  <c r="AP104"/>
  <c r="AO104"/>
  <c r="AL107"/>
  <c r="Z107"/>
  <c r="AB107"/>
  <c r="AE126"/>
  <c r="AM117"/>
  <c r="AT117"/>
  <c r="AK134"/>
  <c r="AW134"/>
  <c r="AY134"/>
  <c r="Z134"/>
  <c r="AO139"/>
  <c r="AP139"/>
  <c r="AM146"/>
  <c r="AT146"/>
  <c r="AN211"/>
  <c r="AU211"/>
  <c r="AM221"/>
  <c r="AT221"/>
  <c r="AA241"/>
  <c r="Z253"/>
  <c r="AK253"/>
  <c r="AB253"/>
  <c r="AW253"/>
  <c r="AY253"/>
  <c r="AL253"/>
  <c r="AU25"/>
  <c r="AN30"/>
  <c r="AU30"/>
  <c r="AT30"/>
  <c r="R42"/>
  <c r="AK34"/>
  <c r="AW34"/>
  <c r="AY34"/>
  <c r="AP42"/>
  <c r="AP418"/>
  <c r="AU46"/>
  <c r="AK52"/>
  <c r="AL52"/>
  <c r="AQ57"/>
  <c r="AU74"/>
  <c r="AT90"/>
  <c r="AM90"/>
  <c r="AM100"/>
  <c r="AT100"/>
  <c r="AW107"/>
  <c r="AY107"/>
  <c r="Z111"/>
  <c r="AK111"/>
  <c r="AL111"/>
  <c r="T449"/>
  <c r="T127"/>
  <c r="AU116"/>
  <c r="AN116"/>
  <c r="AG126"/>
  <c r="AG127"/>
  <c r="AM124"/>
  <c r="AT124"/>
  <c r="AU155"/>
  <c r="AN155"/>
  <c r="AN210"/>
  <c r="AU210"/>
  <c r="AO231"/>
  <c r="AP231"/>
  <c r="AG415"/>
  <c r="Z17"/>
  <c r="AA22"/>
  <c r="AN23"/>
  <c r="AK25"/>
  <c r="AW25"/>
  <c r="AY25"/>
  <c r="AB25"/>
  <c r="AL34"/>
  <c r="AH38"/>
  <c r="AA38"/>
  <c r="AQ38"/>
  <c r="AN40"/>
  <c r="S418"/>
  <c r="S452"/>
  <c r="AP87"/>
  <c r="AP419"/>
  <c r="AK47"/>
  <c r="AW47"/>
  <c r="AY47"/>
  <c r="AB47"/>
  <c r="AH49"/>
  <c r="AA49"/>
  <c r="AQ49"/>
  <c r="AT51"/>
  <c r="AM51"/>
  <c r="AK54"/>
  <c r="AW54"/>
  <c r="AY54"/>
  <c r="AB54"/>
  <c r="AN56"/>
  <c r="AL61"/>
  <c r="AT62"/>
  <c r="AM62"/>
  <c r="AB64"/>
  <c r="AN66"/>
  <c r="AT70"/>
  <c r="AM70"/>
  <c r="AH76"/>
  <c r="AA76"/>
  <c r="AQ76"/>
  <c r="AH77"/>
  <c r="AA77"/>
  <c r="AQ77"/>
  <c r="AH78"/>
  <c r="AA78"/>
  <c r="AQ78"/>
  <c r="AH79"/>
  <c r="AA79"/>
  <c r="AQ79"/>
  <c r="AH80"/>
  <c r="AA80"/>
  <c r="AQ80"/>
  <c r="AH81"/>
  <c r="AA81"/>
  <c r="AQ81"/>
  <c r="AH82"/>
  <c r="AA82"/>
  <c r="AQ82"/>
  <c r="AH83"/>
  <c r="AA83"/>
  <c r="AQ83"/>
  <c r="AH84"/>
  <c r="AA84"/>
  <c r="AQ84"/>
  <c r="AH85"/>
  <c r="AA85"/>
  <c r="AQ85"/>
  <c r="AH86"/>
  <c r="AA86"/>
  <c r="AQ86"/>
  <c r="AW90"/>
  <c r="AY90"/>
  <c r="AL90"/>
  <c r="R113"/>
  <c r="R127"/>
  <c r="Z90"/>
  <c r="AB90"/>
  <c r="Z91"/>
  <c r="AK91"/>
  <c r="AL91"/>
  <c r="AL92"/>
  <c r="AW92"/>
  <c r="AY92"/>
  <c r="AK92"/>
  <c r="AB92"/>
  <c r="AK93"/>
  <c r="AW93"/>
  <c r="AY93"/>
  <c r="Z93"/>
  <c r="AB93"/>
  <c r="AH94"/>
  <c r="AA94"/>
  <c r="AM95"/>
  <c r="AT95"/>
  <c r="AH96"/>
  <c r="AD96"/>
  <c r="AL97"/>
  <c r="AW97"/>
  <c r="AY97"/>
  <c r="AB97"/>
  <c r="AF97"/>
  <c r="AC97"/>
  <c r="AK97"/>
  <c r="AK98"/>
  <c r="AW98"/>
  <c r="AY98"/>
  <c r="Z98"/>
  <c r="AH99"/>
  <c r="AL100"/>
  <c r="Z103"/>
  <c r="AK103"/>
  <c r="AL103"/>
  <c r="AL104"/>
  <c r="AK104"/>
  <c r="AW104"/>
  <c r="AY104"/>
  <c r="AB104"/>
  <c r="AF104"/>
  <c r="AC104"/>
  <c r="AP105"/>
  <c r="AB105"/>
  <c r="AO105"/>
  <c r="AK106"/>
  <c r="Z106"/>
  <c r="AB106"/>
  <c r="AW106"/>
  <c r="AY106"/>
  <c r="AU109"/>
  <c r="AD112"/>
  <c r="AT118"/>
  <c r="AM118"/>
  <c r="AM119"/>
  <c r="AT119"/>
  <c r="AM120"/>
  <c r="AM122"/>
  <c r="AT122"/>
  <c r="AT123"/>
  <c r="AU125"/>
  <c r="AL134"/>
  <c r="AK135"/>
  <c r="AB138"/>
  <c r="AU143"/>
  <c r="AN143"/>
  <c r="AN147"/>
  <c r="AU147"/>
  <c r="AL148"/>
  <c r="AK148"/>
  <c r="AW148"/>
  <c r="AY148"/>
  <c r="Z148"/>
  <c r="AB148"/>
  <c r="AF148"/>
  <c r="AC148"/>
  <c r="AN151"/>
  <c r="AU151"/>
  <c r="AW157"/>
  <c r="AY157"/>
  <c r="AL157"/>
  <c r="W157"/>
  <c r="AK157"/>
  <c r="AM158"/>
  <c r="AT175"/>
  <c r="AH232"/>
  <c r="AU295"/>
  <c r="AN295"/>
  <c r="AL22"/>
  <c r="AK56"/>
  <c r="AL62"/>
  <c r="AK63"/>
  <c r="AL119"/>
  <c r="AL120"/>
  <c r="AL123"/>
  <c r="AS152"/>
  <c r="AL145"/>
  <c r="Z145"/>
  <c r="AH154"/>
  <c r="AS156"/>
  <c r="AR156"/>
  <c r="AJ172"/>
  <c r="AB167"/>
  <c r="AO167"/>
  <c r="AM169"/>
  <c r="AT169"/>
  <c r="AS194"/>
  <c r="AH200"/>
  <c r="AA200"/>
  <c r="AQ200"/>
  <c r="AG201"/>
  <c r="R209"/>
  <c r="AK210"/>
  <c r="W220"/>
  <c r="AK241"/>
  <c r="AW240"/>
  <c r="AY240"/>
  <c r="AK240"/>
  <c r="Z252"/>
  <c r="AM265"/>
  <c r="AT265"/>
  <c r="AP281"/>
  <c r="AM277"/>
  <c r="AT277"/>
  <c r="AO293"/>
  <c r="AB293"/>
  <c r="AM303"/>
  <c r="AT303"/>
  <c r="AW305"/>
  <c r="AY305"/>
  <c r="AL305"/>
  <c r="AB305"/>
  <c r="Z305"/>
  <c r="AN311"/>
  <c r="AU311"/>
  <c r="Z312"/>
  <c r="AH315"/>
  <c r="AG320"/>
  <c r="AL317"/>
  <c r="W317"/>
  <c r="AW317"/>
  <c r="AY317"/>
  <c r="AK317"/>
  <c r="AH326"/>
  <c r="AA326"/>
  <c r="AQ326"/>
  <c r="AP326"/>
  <c r="AM330"/>
  <c r="AT330"/>
  <c r="AT335"/>
  <c r="AM335"/>
  <c r="AS365"/>
  <c r="AS366"/>
  <c r="AO388"/>
  <c r="AP388"/>
  <c r="K11"/>
  <c r="R11"/>
  <c r="S415"/>
  <c r="S437"/>
  <c r="AV437"/>
  <c r="AV415"/>
  <c r="AT23"/>
  <c r="AK24"/>
  <c r="AH29"/>
  <c r="AT29"/>
  <c r="AB30"/>
  <c r="AF30"/>
  <c r="AC30"/>
  <c r="AW30"/>
  <c r="AY30"/>
  <c r="AK32"/>
  <c r="AK417"/>
  <c r="AK37"/>
  <c r="AT40"/>
  <c r="AK41"/>
  <c r="AM41"/>
  <c r="AK46"/>
  <c r="W56"/>
  <c r="AK57"/>
  <c r="AK58"/>
  <c r="AK59"/>
  <c r="AT67"/>
  <c r="AB69"/>
  <c r="AW69"/>
  <c r="AY69"/>
  <c r="W71"/>
  <c r="AL71"/>
  <c r="AK72"/>
  <c r="AK73"/>
  <c r="AK74"/>
  <c r="T419"/>
  <c r="Z95"/>
  <c r="AL95"/>
  <c r="AL96"/>
  <c r="AT96"/>
  <c r="Z101"/>
  <c r="AB101"/>
  <c r="AF101"/>
  <c r="AC101"/>
  <c r="Z102"/>
  <c r="AK105"/>
  <c r="AT108"/>
  <c r="Z110"/>
  <c r="AK115"/>
  <c r="AB116"/>
  <c r="Z118"/>
  <c r="AH118"/>
  <c r="Z119"/>
  <c r="AH119"/>
  <c r="Z120"/>
  <c r="AH120"/>
  <c r="Z121"/>
  <c r="Z122"/>
  <c r="AH122"/>
  <c r="Z123"/>
  <c r="Z124"/>
  <c r="AL124"/>
  <c r="AK125"/>
  <c r="AE140"/>
  <c r="AI140"/>
  <c r="AQ140"/>
  <c r="AK133"/>
  <c r="S421"/>
  <c r="AL142"/>
  <c r="AK142"/>
  <c r="AG152"/>
  <c r="AB143"/>
  <c r="AO143"/>
  <c r="AH145"/>
  <c r="AW145"/>
  <c r="AY145"/>
  <c r="AM149"/>
  <c r="AT149"/>
  <c r="AI159"/>
  <c r="AT162"/>
  <c r="Z166"/>
  <c r="R172"/>
  <c r="AL166"/>
  <c r="AK166"/>
  <c r="AR172"/>
  <c r="AB168"/>
  <c r="AN169"/>
  <c r="AL171"/>
  <c r="AK171"/>
  <c r="AB171"/>
  <c r="P172"/>
  <c r="AK176"/>
  <c r="AW176"/>
  <c r="AY176"/>
  <c r="AB176"/>
  <c r="AK178"/>
  <c r="AW178"/>
  <c r="AY178"/>
  <c r="AB178"/>
  <c r="AK183"/>
  <c r="AW183"/>
  <c r="AY183"/>
  <c r="AB183"/>
  <c r="AF183"/>
  <c r="AL183"/>
  <c r="AK184"/>
  <c r="AW184"/>
  <c r="AY184"/>
  <c r="AB184"/>
  <c r="AF184"/>
  <c r="AC184"/>
  <c r="AL184"/>
  <c r="AJ194"/>
  <c r="AJ202"/>
  <c r="AJ423"/>
  <c r="AW199"/>
  <c r="AY199"/>
  <c r="AB199"/>
  <c r="AK199"/>
  <c r="AS199"/>
  <c r="AB200"/>
  <c r="I224"/>
  <c r="I413"/>
  <c r="AN206"/>
  <c r="AW212"/>
  <c r="AY212"/>
  <c r="Z212"/>
  <c r="AB212"/>
  <c r="AK212"/>
  <c r="AI223"/>
  <c r="AI224"/>
  <c r="AI424"/>
  <c r="AM219"/>
  <c r="AU226"/>
  <c r="AG229"/>
  <c r="AR239"/>
  <c r="AG241"/>
  <c r="W240"/>
  <c r="AL240"/>
  <c r="AI258"/>
  <c r="Z248"/>
  <c r="AB248"/>
  <c r="AK248"/>
  <c r="AN250"/>
  <c r="AW251"/>
  <c r="AY251"/>
  <c r="AL251"/>
  <c r="AT251"/>
  <c r="AH254"/>
  <c r="AU256"/>
  <c r="AK260"/>
  <c r="AB260"/>
  <c r="AF260"/>
  <c r="R267"/>
  <c r="AW260"/>
  <c r="AY260"/>
  <c r="AU261"/>
  <c r="AM264"/>
  <c r="AT264"/>
  <c r="Z266"/>
  <c r="AB266"/>
  <c r="AF266"/>
  <c r="AC266"/>
  <c r="AM269"/>
  <c r="AL272"/>
  <c r="AW272"/>
  <c r="AY272"/>
  <c r="AK272"/>
  <c r="Z272"/>
  <c r="AU276"/>
  <c r="AQ277"/>
  <c r="AB277"/>
  <c r="AN283"/>
  <c r="AU283"/>
  <c r="P299"/>
  <c r="AJ299"/>
  <c r="AW294"/>
  <c r="AY294"/>
  <c r="AB294"/>
  <c r="AL294"/>
  <c r="AK294"/>
  <c r="AT302"/>
  <c r="AT324"/>
  <c r="AM324"/>
  <c r="AP327"/>
  <c r="AO327"/>
  <c r="AU335"/>
  <c r="T428"/>
  <c r="AT340"/>
  <c r="AM340"/>
  <c r="AN342"/>
  <c r="AU342"/>
  <c r="Z347"/>
  <c r="AK347"/>
  <c r="R348"/>
  <c r="AE355"/>
  <c r="AO354"/>
  <c r="AP354"/>
  <c r="AG367"/>
  <c r="AT365"/>
  <c r="AT366"/>
  <c r="AI396"/>
  <c r="AI432"/>
  <c r="AK385"/>
  <c r="AL385"/>
  <c r="AW385"/>
  <c r="AY385"/>
  <c r="R392"/>
  <c r="Z385"/>
  <c r="AO389"/>
  <c r="AH389"/>
  <c r="AB389"/>
  <c r="AU410"/>
  <c r="AN410"/>
  <c r="AG180"/>
  <c r="AG422"/>
  <c r="P180"/>
  <c r="AM168"/>
  <c r="AT168"/>
  <c r="AD170"/>
  <c r="AN187"/>
  <c r="AL188"/>
  <c r="Z188"/>
  <c r="AK188"/>
  <c r="AK191"/>
  <c r="AW191"/>
  <c r="AY191"/>
  <c r="AL191"/>
  <c r="AK192"/>
  <c r="AW192"/>
  <c r="AY192"/>
  <c r="AL192"/>
  <c r="AK193"/>
  <c r="AW193"/>
  <c r="AY193"/>
  <c r="AB193"/>
  <c r="AL193"/>
  <c r="AM200"/>
  <c r="AT200"/>
  <c r="AW210"/>
  <c r="AY210"/>
  <c r="AN213"/>
  <c r="AU213"/>
  <c r="AW214"/>
  <c r="AY214"/>
  <c r="Z214"/>
  <c r="AB214"/>
  <c r="AK214"/>
  <c r="AW220"/>
  <c r="AY220"/>
  <c r="AB220"/>
  <c r="AK220"/>
  <c r="AG223"/>
  <c r="AG224"/>
  <c r="AG424"/>
  <c r="R237"/>
  <c r="R242"/>
  <c r="AB231"/>
  <c r="AF231"/>
  <c r="AL231"/>
  <c r="AW232"/>
  <c r="AY232"/>
  <c r="Z232"/>
  <c r="AL232"/>
  <c r="AN233"/>
  <c r="AU233"/>
  <c r="AL234"/>
  <c r="Z234"/>
  <c r="AH234"/>
  <c r="AA234"/>
  <c r="AK234"/>
  <c r="AG237"/>
  <c r="AK246"/>
  <c r="AW246"/>
  <c r="AY246"/>
  <c r="AL246"/>
  <c r="AB246"/>
  <c r="AF246"/>
  <c r="AC246"/>
  <c r="AH249"/>
  <c r="AD249"/>
  <c r="AW252"/>
  <c r="AY252"/>
  <c r="AB252"/>
  <c r="AF252"/>
  <c r="AC252"/>
  <c r="AL252"/>
  <c r="Z257"/>
  <c r="AB257"/>
  <c r="AW257"/>
  <c r="AY257"/>
  <c r="AL257"/>
  <c r="AK257"/>
  <c r="AU262"/>
  <c r="AP265"/>
  <c r="AO265"/>
  <c r="AT275"/>
  <c r="AM275"/>
  <c r="AF298"/>
  <c r="AC298"/>
  <c r="AT306"/>
  <c r="AM306"/>
  <c r="Z309"/>
  <c r="AH309"/>
  <c r="AB309"/>
  <c r="AW309"/>
  <c r="AY309"/>
  <c r="AL309"/>
  <c r="AK312"/>
  <c r="AL312"/>
  <c r="AT318"/>
  <c r="AM318"/>
  <c r="AT325"/>
  <c r="AM325"/>
  <c r="AS341"/>
  <c r="AB341"/>
  <c r="AR341"/>
  <c r="AU347"/>
  <c r="AU348"/>
  <c r="AU429"/>
  <c r="AL348"/>
  <c r="AL429"/>
  <c r="AM358"/>
  <c r="AT358"/>
  <c r="AP361"/>
  <c r="AO361"/>
  <c r="AB361"/>
  <c r="AH373"/>
  <c r="AG377"/>
  <c r="AW374"/>
  <c r="AY374"/>
  <c r="Z374"/>
  <c r="AK374"/>
  <c r="AL374"/>
  <c r="AM375"/>
  <c r="AT375"/>
  <c r="T442"/>
  <c r="T433"/>
  <c r="AK404"/>
  <c r="AW404"/>
  <c r="Z404"/>
  <c r="AH404"/>
  <c r="AH406"/>
  <c r="AL404"/>
  <c r="S433"/>
  <c r="S442"/>
  <c r="AL26"/>
  <c r="AL35"/>
  <c r="AL39"/>
  <c r="T452"/>
  <c r="A452"/>
  <c r="T418"/>
  <c r="AL44"/>
  <c r="S419"/>
  <c r="AL101"/>
  <c r="AL102"/>
  <c r="AL110"/>
  <c r="AL118"/>
  <c r="AL121"/>
  <c r="AL122"/>
  <c r="T450"/>
  <c r="AN144"/>
  <c r="AU144"/>
  <c r="AK145"/>
  <c r="AK147"/>
  <c r="AW147"/>
  <c r="AY147"/>
  <c r="Z147"/>
  <c r="R159"/>
  <c r="AL154"/>
  <c r="W154"/>
  <c r="AE172"/>
  <c r="AQ172"/>
  <c r="AH188"/>
  <c r="AA188"/>
  <c r="AH190"/>
  <c r="AA190"/>
  <c r="AQ190"/>
  <c r="Z191"/>
  <c r="AH191"/>
  <c r="Z192"/>
  <c r="AH192"/>
  <c r="AH193"/>
  <c r="AL200"/>
  <c r="W200"/>
  <c r="Z210"/>
  <c r="AW211"/>
  <c r="AY211"/>
  <c r="Z211"/>
  <c r="AB211"/>
  <c r="AK211"/>
  <c r="AW215"/>
  <c r="AY215"/>
  <c r="Z215"/>
  <c r="AH215"/>
  <c r="AK215"/>
  <c r="AR219"/>
  <c r="AH231"/>
  <c r="AR232"/>
  <c r="AR237"/>
  <c r="AI232"/>
  <c r="AI237"/>
  <c r="AI242"/>
  <c r="AI425"/>
  <c r="AE232"/>
  <c r="AE237"/>
  <c r="AW234"/>
  <c r="AY234"/>
  <c r="AP256"/>
  <c r="AG267"/>
  <c r="AU260"/>
  <c r="AW263"/>
  <c r="AY263"/>
  <c r="AL263"/>
  <c r="AK263"/>
  <c r="Z263"/>
  <c r="AB263"/>
  <c r="AK266"/>
  <c r="AL266"/>
  <c r="AN270"/>
  <c r="AU270"/>
  <c r="AN284"/>
  <c r="Z295"/>
  <c r="AK295"/>
  <c r="AB295"/>
  <c r="AW295"/>
  <c r="AY295"/>
  <c r="AH295"/>
  <c r="P313"/>
  <c r="AP306"/>
  <c r="AO306"/>
  <c r="AP310"/>
  <c r="AO310"/>
  <c r="AB310"/>
  <c r="Z332"/>
  <c r="AK332"/>
  <c r="AL332"/>
  <c r="AP360"/>
  <c r="AO360"/>
  <c r="AB360"/>
  <c r="S430"/>
  <c r="S441"/>
  <c r="AP390"/>
  <c r="AO390"/>
  <c r="AH390"/>
  <c r="AA390"/>
  <c r="R406"/>
  <c r="T437"/>
  <c r="T415"/>
  <c r="AB22"/>
  <c r="AV452"/>
  <c r="AV418"/>
  <c r="W57"/>
  <c r="AB62"/>
  <c r="W72"/>
  <c r="AH72"/>
  <c r="AA72"/>
  <c r="AB102"/>
  <c r="Z109"/>
  <c r="AB109"/>
  <c r="AB110"/>
  <c r="S449"/>
  <c r="AV449"/>
  <c r="AL115"/>
  <c r="AB119"/>
  <c r="AB122"/>
  <c r="AB123"/>
  <c r="AK139"/>
  <c r="AW139"/>
  <c r="AY139"/>
  <c r="AB139"/>
  <c r="AL139"/>
  <c r="T421"/>
  <c r="AV421"/>
  <c r="AP142"/>
  <c r="AO142"/>
  <c r="AK151"/>
  <c r="AW151"/>
  <c r="AY151"/>
  <c r="Z151"/>
  <c r="AB151"/>
  <c r="AJ159"/>
  <c r="AJ160"/>
  <c r="AU156"/>
  <c r="AL158"/>
  <c r="W158"/>
  <c r="AH158"/>
  <c r="AA158"/>
  <c r="AQ158"/>
  <c r="T451"/>
  <c r="AG159"/>
  <c r="T180"/>
  <c r="T422"/>
  <c r="AH166"/>
  <c r="AP170"/>
  <c r="AO170"/>
  <c r="AP171"/>
  <c r="AO171"/>
  <c r="AS174"/>
  <c r="AR174"/>
  <c r="AQ174"/>
  <c r="AL175"/>
  <c r="W175"/>
  <c r="AH175"/>
  <c r="AA175"/>
  <c r="AQ175"/>
  <c r="AS176"/>
  <c r="AR176"/>
  <c r="AL177"/>
  <c r="W177"/>
  <c r="AH177"/>
  <c r="AA177"/>
  <c r="AQ177"/>
  <c r="AS178"/>
  <c r="AR178"/>
  <c r="Z185"/>
  <c r="AO183"/>
  <c r="AO185"/>
  <c r="Z187"/>
  <c r="AB187"/>
  <c r="AG194"/>
  <c r="AU190"/>
  <c r="AF193"/>
  <c r="AC193"/>
  <c r="R201"/>
  <c r="AL196"/>
  <c r="W196"/>
  <c r="AH196"/>
  <c r="AN199"/>
  <c r="AU199"/>
  <c r="T224"/>
  <c r="T424"/>
  <c r="AN212"/>
  <c r="AU212"/>
  <c r="AW213"/>
  <c r="AY213"/>
  <c r="Z213"/>
  <c r="AB213"/>
  <c r="AF213"/>
  <c r="AC213"/>
  <c r="AK213"/>
  <c r="R223"/>
  <c r="AP223"/>
  <c r="AU219"/>
  <c r="AL221"/>
  <c r="W221"/>
  <c r="AH221"/>
  <c r="AA221"/>
  <c r="AQ221"/>
  <c r="AM227"/>
  <c r="AT227"/>
  <c r="AM228"/>
  <c r="AT228"/>
  <c r="AK232"/>
  <c r="AW233"/>
  <c r="AY233"/>
  <c r="Z233"/>
  <c r="AK233"/>
  <c r="AF235"/>
  <c r="AC235"/>
  <c r="AD235"/>
  <c r="AM235"/>
  <c r="AT235"/>
  <c r="AF236"/>
  <c r="AC236"/>
  <c r="AD236"/>
  <c r="AM236"/>
  <c r="AT236"/>
  <c r="S237"/>
  <c r="S242"/>
  <c r="AM239"/>
  <c r="AT239"/>
  <c r="AR258"/>
  <c r="AL248"/>
  <c r="AP249"/>
  <c r="AO249"/>
  <c r="AM249"/>
  <c r="Z251"/>
  <c r="T288"/>
  <c r="T426"/>
  <c r="AO260"/>
  <c r="AP260"/>
  <c r="AH263"/>
  <c r="AG273"/>
  <c r="AH269"/>
  <c r="AN275"/>
  <c r="AU275"/>
  <c r="AW284"/>
  <c r="AY284"/>
  <c r="AK284"/>
  <c r="W284"/>
  <c r="AB284"/>
  <c r="AB286"/>
  <c r="AP292"/>
  <c r="AO292"/>
  <c r="AB292"/>
  <c r="AN293"/>
  <c r="AH296"/>
  <c r="AF296"/>
  <c r="AC296"/>
  <c r="AD296"/>
  <c r="AS313"/>
  <c r="AW303"/>
  <c r="AY303"/>
  <c r="AL303"/>
  <c r="Z303"/>
  <c r="AK305"/>
  <c r="AW308"/>
  <c r="AY308"/>
  <c r="AL308"/>
  <c r="AH308"/>
  <c r="AK308"/>
  <c r="Z308"/>
  <c r="AK309"/>
  <c r="AO311"/>
  <c r="AB311"/>
  <c r="AS316"/>
  <c r="AW330"/>
  <c r="Z330"/>
  <c r="AB330"/>
  <c r="R336"/>
  <c r="AL330"/>
  <c r="AP331"/>
  <c r="AO331"/>
  <c r="AH331"/>
  <c r="AE336"/>
  <c r="AE377"/>
  <c r="AE378"/>
  <c r="AE431"/>
  <c r="AG407"/>
  <c r="AW403"/>
  <c r="AY403"/>
  <c r="Z403"/>
  <c r="AL403"/>
  <c r="AB403"/>
  <c r="AK403"/>
  <c r="AK138"/>
  <c r="AK155"/>
  <c r="AB156"/>
  <c r="AW156"/>
  <c r="AK170"/>
  <c r="AB174"/>
  <c r="AW174"/>
  <c r="AK189"/>
  <c r="AO189"/>
  <c r="AW190"/>
  <c r="AY190"/>
  <c r="AK197"/>
  <c r="AW198"/>
  <c r="AK206"/>
  <c r="AK218"/>
  <c r="AS218"/>
  <c r="AW219"/>
  <c r="AK222"/>
  <c r="AL227"/>
  <c r="AL228"/>
  <c r="AL235"/>
  <c r="AL236"/>
  <c r="AW239"/>
  <c r="AY239"/>
  <c r="AN249"/>
  <c r="AW250"/>
  <c r="AY250"/>
  <c r="AO254"/>
  <c r="AS267"/>
  <c r="AW262"/>
  <c r="AY262"/>
  <c r="AB262"/>
  <c r="AI262"/>
  <c r="AI267"/>
  <c r="AW264"/>
  <c r="AY264"/>
  <c r="AB264"/>
  <c r="AL264"/>
  <c r="AH265"/>
  <c r="AA275"/>
  <c r="AU277"/>
  <c r="AN277"/>
  <c r="AI321"/>
  <c r="AI427"/>
  <c r="AF294"/>
  <c r="AC294"/>
  <c r="AN298"/>
  <c r="AK307"/>
  <c r="AW307"/>
  <c r="AY307"/>
  <c r="AH307"/>
  <c r="AL307"/>
  <c r="AB307"/>
  <c r="AF307"/>
  <c r="AC307"/>
  <c r="AP307"/>
  <c r="AP320"/>
  <c r="AU318"/>
  <c r="AL325"/>
  <c r="Z325"/>
  <c r="G344"/>
  <c r="G349"/>
  <c r="AP335"/>
  <c r="AB335"/>
  <c r="P353"/>
  <c r="P355"/>
  <c r="AI430"/>
  <c r="AO358"/>
  <c r="AP358"/>
  <c r="AU358"/>
  <c r="AN358"/>
  <c r="R371"/>
  <c r="Z370"/>
  <c r="AW370"/>
  <c r="AK370"/>
  <c r="AL370"/>
  <c r="P371"/>
  <c r="P378"/>
  <c r="AM376"/>
  <c r="AT376"/>
  <c r="AM390"/>
  <c r="AT390"/>
  <c r="AU390"/>
  <c r="AM399"/>
  <c r="AT399"/>
  <c r="AR443"/>
  <c r="AR434"/>
  <c r="Z144"/>
  <c r="Z146"/>
  <c r="Z150"/>
  <c r="W155"/>
  <c r="AH155"/>
  <c r="AA155"/>
  <c r="AQ155"/>
  <c r="S451"/>
  <c r="A451"/>
  <c r="AV451"/>
  <c r="AH170"/>
  <c r="AH189"/>
  <c r="AA189"/>
  <c r="W197"/>
  <c r="R205"/>
  <c r="AH218"/>
  <c r="AL218"/>
  <c r="W222"/>
  <c r="Z227"/>
  <c r="R245"/>
  <c r="AW256"/>
  <c r="AY256"/>
  <c r="AB256"/>
  <c r="AF256"/>
  <c r="AC256"/>
  <c r="S288"/>
  <c r="S426"/>
  <c r="AP261"/>
  <c r="AE262"/>
  <c r="AW265"/>
  <c r="AY265"/>
  <c r="AB265"/>
  <c r="AL265"/>
  <c r="S267"/>
  <c r="AR273"/>
  <c r="AT276"/>
  <c r="AM276"/>
  <c r="AW283"/>
  <c r="AY283"/>
  <c r="R287"/>
  <c r="AK283"/>
  <c r="W283"/>
  <c r="AH283"/>
  <c r="AL285"/>
  <c r="AL287"/>
  <c r="W285"/>
  <c r="AB285"/>
  <c r="AW285"/>
  <c r="AY285"/>
  <c r="AK285"/>
  <c r="R291"/>
  <c r="AP297"/>
  <c r="AO297"/>
  <c r="AP298"/>
  <c r="AV321"/>
  <c r="AV427"/>
  <c r="AE313"/>
  <c r="AJ313"/>
  <c r="AW302"/>
  <c r="AY302"/>
  <c r="AL302"/>
  <c r="AW304"/>
  <c r="AY304"/>
  <c r="AL304"/>
  <c r="AB304"/>
  <c r="AL306"/>
  <c r="AB306"/>
  <c r="AT315"/>
  <c r="AW316"/>
  <c r="AL316"/>
  <c r="AH316"/>
  <c r="AA316"/>
  <c r="AQ316"/>
  <c r="AK316"/>
  <c r="AI328"/>
  <c r="AI344"/>
  <c r="AW327"/>
  <c r="AB327"/>
  <c r="AL327"/>
  <c r="AK327"/>
  <c r="AH327"/>
  <c r="AA327"/>
  <c r="AQ327"/>
  <c r="R328"/>
  <c r="R344"/>
  <c r="AV344"/>
  <c r="AW331"/>
  <c r="AY331"/>
  <c r="AK331"/>
  <c r="AL331"/>
  <c r="AW338"/>
  <c r="AY338"/>
  <c r="AL338"/>
  <c r="AH338"/>
  <c r="AK338"/>
  <c r="AL339"/>
  <c r="AH339"/>
  <c r="AA339"/>
  <c r="AQ339"/>
  <c r="AW339"/>
  <c r="AY339"/>
  <c r="AK339"/>
  <c r="AL340"/>
  <c r="W340"/>
  <c r="AW340"/>
  <c r="AY340"/>
  <c r="AB340"/>
  <c r="AW342"/>
  <c r="AY342"/>
  <c r="AK342"/>
  <c r="W342"/>
  <c r="AH342"/>
  <c r="AA342"/>
  <c r="AQ342"/>
  <c r="AJ367"/>
  <c r="T441"/>
  <c r="T430"/>
  <c r="AD358"/>
  <c r="AT361"/>
  <c r="AG378"/>
  <c r="AG431"/>
  <c r="P382"/>
  <c r="P396"/>
  <c r="R381"/>
  <c r="AI392"/>
  <c r="AK388"/>
  <c r="AB388"/>
  <c r="AW388"/>
  <c r="AY388"/>
  <c r="AL388"/>
  <c r="Z400"/>
  <c r="AB400"/>
  <c r="AK400"/>
  <c r="AL400"/>
  <c r="AW405"/>
  <c r="AY405"/>
  <c r="AL405"/>
  <c r="AK405"/>
  <c r="Z405"/>
  <c r="AH405"/>
  <c r="AA405"/>
  <c r="AB405"/>
  <c r="AF405"/>
  <c r="AC405"/>
  <c r="AI443"/>
  <c r="AI434"/>
  <c r="R273"/>
  <c r="AL269"/>
  <c r="AS275"/>
  <c r="AR275"/>
  <c r="AW276"/>
  <c r="AL279"/>
  <c r="W279"/>
  <c r="AR286"/>
  <c r="AN292"/>
  <c r="AW293"/>
  <c r="AY293"/>
  <c r="AN297"/>
  <c r="AW298"/>
  <c r="AY298"/>
  <c r="AG313"/>
  <c r="AG321"/>
  <c r="AG427"/>
  <c r="AH306"/>
  <c r="AN310"/>
  <c r="AH311"/>
  <c r="AW311"/>
  <c r="AY311"/>
  <c r="P320"/>
  <c r="AW318"/>
  <c r="AY318"/>
  <c r="AS318"/>
  <c r="AT323"/>
  <c r="AG328"/>
  <c r="AG344"/>
  <c r="AH325"/>
  <c r="S344"/>
  <c r="AL333"/>
  <c r="Z333"/>
  <c r="AH335"/>
  <c r="AH340"/>
  <c r="AA340"/>
  <c r="AQ340"/>
  <c r="AG363"/>
  <c r="AV441"/>
  <c r="AW373"/>
  <c r="AY373"/>
  <c r="AL373"/>
  <c r="R377"/>
  <c r="AW376"/>
  <c r="AY376"/>
  <c r="Z376"/>
  <c r="AL376"/>
  <c r="AW391"/>
  <c r="AY391"/>
  <c r="AL391"/>
  <c r="Z391"/>
  <c r="AV442"/>
  <c r="AV433"/>
  <c r="AI433"/>
  <c r="AI442"/>
  <c r="Z411"/>
  <c r="AY411"/>
  <c r="AE273"/>
  <c r="AI273"/>
  <c r="AW270"/>
  <c r="Z270"/>
  <c r="AK271"/>
  <c r="AL271"/>
  <c r="W276"/>
  <c r="AK279"/>
  <c r="AP287"/>
  <c r="AH285"/>
  <c r="AA285"/>
  <c r="AQ285"/>
  <c r="AS299"/>
  <c r="T321"/>
  <c r="T427"/>
  <c r="R301"/>
  <c r="AL315"/>
  <c r="W315"/>
  <c r="AH317"/>
  <c r="AA317"/>
  <c r="AQ317"/>
  <c r="AL319"/>
  <c r="W319"/>
  <c r="R320"/>
  <c r="AS328"/>
  <c r="AK333"/>
  <c r="AW333"/>
  <c r="AY333"/>
  <c r="AB334"/>
  <c r="AH334"/>
  <c r="AM334"/>
  <c r="AK354"/>
  <c r="AL354"/>
  <c r="AB354"/>
  <c r="AW354"/>
  <c r="AY354"/>
  <c r="AS363"/>
  <c r="AP359"/>
  <c r="AO359"/>
  <c r="AS378"/>
  <c r="AS431"/>
  <c r="AP373"/>
  <c r="AO373"/>
  <c r="AW375"/>
  <c r="AY375"/>
  <c r="Z375"/>
  <c r="AL375"/>
  <c r="AJ396"/>
  <c r="AJ432"/>
  <c r="AG392"/>
  <c r="AG396"/>
  <c r="AG432"/>
  <c r="AK387"/>
  <c r="AW387"/>
  <c r="AY387"/>
  <c r="Z387"/>
  <c r="AB387"/>
  <c r="AL387"/>
  <c r="Z399"/>
  <c r="AW399"/>
  <c r="AY399"/>
  <c r="AL399"/>
  <c r="R401"/>
  <c r="AS434"/>
  <c r="AS443"/>
  <c r="AL384"/>
  <c r="AR392"/>
  <c r="AN389"/>
  <c r="AE392"/>
  <c r="R395"/>
  <c r="AL394"/>
  <c r="W394"/>
  <c r="AK394"/>
  <c r="AS406"/>
  <c r="AS407"/>
  <c r="R412"/>
  <c r="AW409"/>
  <c r="AY409"/>
  <c r="AK409"/>
  <c r="AH409"/>
  <c r="AL409"/>
  <c r="AL366"/>
  <c r="AK384"/>
  <c r="AK386"/>
  <c r="AB386"/>
  <c r="AF386"/>
  <c r="AC386"/>
  <c r="AL386"/>
  <c r="AH394"/>
  <c r="AG395"/>
  <c r="AJ401"/>
  <c r="AJ407"/>
  <c r="AO409"/>
  <c r="Z410"/>
  <c r="AK410"/>
  <c r="AW410"/>
  <c r="AY410"/>
  <c r="AE412"/>
  <c r="S434"/>
  <c r="S443"/>
  <c r="AR355"/>
  <c r="P363"/>
  <c r="R357"/>
  <c r="AW365"/>
  <c r="R366"/>
  <c r="AW390"/>
  <c r="AY390"/>
  <c r="AB390"/>
  <c r="AG406"/>
  <c r="AT408"/>
  <c r="AG412"/>
  <c r="AP108" i="41"/>
  <c r="AH108"/>
  <c r="AP250" i="21"/>
  <c r="AB250"/>
  <c r="AO250" i="41"/>
  <c r="AH250"/>
  <c r="AM250"/>
  <c r="AP250"/>
  <c r="AT249"/>
  <c r="AB250"/>
  <c r="AG288"/>
  <c r="AG426"/>
  <c r="B278"/>
  <c r="B279"/>
  <c r="B280"/>
  <c r="B283"/>
  <c r="B284"/>
  <c r="B285"/>
  <c r="B286"/>
  <c r="B291"/>
  <c r="B292"/>
  <c r="B293"/>
  <c r="B294"/>
  <c r="B295"/>
  <c r="B296"/>
  <c r="B297"/>
  <c r="B298"/>
  <c r="B301"/>
  <c r="B302"/>
  <c r="B303"/>
  <c r="B304"/>
  <c r="B305"/>
  <c r="B306"/>
  <c r="B307"/>
  <c r="B308"/>
  <c r="B309"/>
  <c r="B310"/>
  <c r="B311"/>
  <c r="B312"/>
  <c r="B315"/>
  <c r="B316"/>
  <c r="B317"/>
  <c r="B318"/>
  <c r="B319"/>
  <c r="B325"/>
  <c r="AM412"/>
  <c r="AT412"/>
  <c r="AC411"/>
  <c r="AB411" i="21"/>
  <c r="AF411"/>
  <c r="AU326" i="41"/>
  <c r="AN326"/>
  <c r="AB326"/>
  <c r="AW328"/>
  <c r="AQ149"/>
  <c r="AB149"/>
  <c r="AF149"/>
  <c r="AC149"/>
  <c r="AH120"/>
  <c r="AA120"/>
  <c r="AQ120"/>
  <c r="AU261"/>
  <c r="AN261"/>
  <c r="AN214"/>
  <c r="AU214"/>
  <c r="AD264"/>
  <c r="AH169"/>
  <c r="AT65"/>
  <c r="AM65"/>
  <c r="AB233"/>
  <c r="AF233"/>
  <c r="AC233"/>
  <c r="AH223"/>
  <c r="AB210"/>
  <c r="AF210"/>
  <c r="AC210"/>
  <c r="AT241"/>
  <c r="AB221"/>
  <c r="AT214"/>
  <c r="AB169"/>
  <c r="AT150"/>
  <c r="AP143"/>
  <c r="AP166"/>
  <c r="AP146"/>
  <c r="AA223"/>
  <c r="K413"/>
  <c r="AO108"/>
  <c r="AH119"/>
  <c r="AA119"/>
  <c r="AT77"/>
  <c r="AQ57"/>
  <c r="AT78"/>
  <c r="AT84"/>
  <c r="AT70"/>
  <c r="AU37"/>
  <c r="AU102"/>
  <c r="AS420"/>
  <c r="AQ72"/>
  <c r="AO266"/>
  <c r="AP266"/>
  <c r="AT67"/>
  <c r="AM67"/>
  <c r="AN117"/>
  <c r="AT64"/>
  <c r="AM64"/>
  <c r="AN65"/>
  <c r="AU65"/>
  <c r="AN233"/>
  <c r="AN237"/>
  <c r="AU233"/>
  <c r="AM100"/>
  <c r="AT100"/>
  <c r="AO264"/>
  <c r="AP264"/>
  <c r="AM143"/>
  <c r="AT143"/>
  <c r="AS70"/>
  <c r="AR70"/>
  <c r="AN150"/>
  <c r="AU150"/>
  <c r="AU236"/>
  <c r="AN236"/>
  <c r="AU70"/>
  <c r="AN70"/>
  <c r="AT254"/>
  <c r="AH166"/>
  <c r="AH201"/>
  <c r="AT32"/>
  <c r="AT417"/>
  <c r="AB100"/>
  <c r="AP100"/>
  <c r="AO100"/>
  <c r="AW113"/>
  <c r="AW87"/>
  <c r="AW419"/>
  <c r="AO254"/>
  <c r="AP254"/>
  <c r="AB213"/>
  <c r="AB148"/>
  <c r="AT123"/>
  <c r="AB80"/>
  <c r="AD80"/>
  <c r="AB25"/>
  <c r="AP119"/>
  <c r="AG242"/>
  <c r="AG425"/>
  <c r="AW42"/>
  <c r="AW418"/>
  <c r="AB58"/>
  <c r="AB254"/>
  <c r="AO123"/>
  <c r="AP123"/>
  <c r="AU100"/>
  <c r="AN100"/>
  <c r="AO213"/>
  <c r="AP213"/>
  <c r="AB123"/>
  <c r="AB70"/>
  <c r="AM23"/>
  <c r="AH123"/>
  <c r="AA123"/>
  <c r="AQ123"/>
  <c r="AI420"/>
  <c r="AR442" i="21"/>
  <c r="AR433"/>
  <c r="AF362"/>
  <c r="AC362"/>
  <c r="AD362"/>
  <c r="AE442"/>
  <c r="AE433"/>
  <c r="AW371"/>
  <c r="AW378"/>
  <c r="AW431"/>
  <c r="AY370"/>
  <c r="AM270"/>
  <c r="AT270"/>
  <c r="AN239"/>
  <c r="AU239"/>
  <c r="AS367"/>
  <c r="AW187"/>
  <c r="AY187"/>
  <c r="AU150"/>
  <c r="AH115"/>
  <c r="AB39"/>
  <c r="AP271"/>
  <c r="AS239"/>
  <c r="AN29"/>
  <c r="AN32"/>
  <c r="AN417"/>
  <c r="AD57"/>
  <c r="AA365"/>
  <c r="AH366"/>
  <c r="AU341"/>
  <c r="AN341"/>
  <c r="AT319"/>
  <c r="AM319"/>
  <c r="AM256"/>
  <c r="AT256"/>
  <c r="AU361"/>
  <c r="AN361"/>
  <c r="AW366"/>
  <c r="AY365"/>
  <c r="AO362"/>
  <c r="AT359"/>
  <c r="AY327"/>
  <c r="AF262"/>
  <c r="AC262"/>
  <c r="R353"/>
  <c r="Z353"/>
  <c r="AH281"/>
  <c r="AB219"/>
  <c r="AB190"/>
  <c r="AJ434"/>
  <c r="W223"/>
  <c r="W224"/>
  <c r="AD206"/>
  <c r="AR198"/>
  <c r="AK187"/>
  <c r="AT187"/>
  <c r="AT167"/>
  <c r="AH298"/>
  <c r="AO271"/>
  <c r="AE267"/>
  <c r="AW231"/>
  <c r="AY231"/>
  <c r="AM365"/>
  <c r="AM366"/>
  <c r="AK273"/>
  <c r="AO206"/>
  <c r="AP190"/>
  <c r="AT64"/>
  <c r="AH297"/>
  <c r="AN168"/>
  <c r="AN146"/>
  <c r="AT156"/>
  <c r="AO138"/>
  <c r="AM110"/>
  <c r="AT35"/>
  <c r="AG437"/>
  <c r="AU54"/>
  <c r="AT143"/>
  <c r="AB125"/>
  <c r="AF125"/>
  <c r="AC125"/>
  <c r="AI127"/>
  <c r="AB67"/>
  <c r="AE67"/>
  <c r="AF67"/>
  <c r="AC67"/>
  <c r="AD67"/>
  <c r="AT22"/>
  <c r="AD23"/>
  <c r="R194"/>
  <c r="AN108"/>
  <c r="AJ224"/>
  <c r="AJ424"/>
  <c r="AB108"/>
  <c r="AU360"/>
  <c r="AN360"/>
  <c r="AN198"/>
  <c r="AU198"/>
  <c r="AU359"/>
  <c r="AN359"/>
  <c r="AO269"/>
  <c r="AP269"/>
  <c r="AW384"/>
  <c r="AY384"/>
  <c r="Z384"/>
  <c r="AN365"/>
  <c r="AN366"/>
  <c r="AU365"/>
  <c r="AU366"/>
  <c r="AT255"/>
  <c r="AM255"/>
  <c r="AT190"/>
  <c r="AM190"/>
  <c r="AM326"/>
  <c r="AT326"/>
  <c r="AT362"/>
  <c r="AM362"/>
  <c r="AW320"/>
  <c r="AY316"/>
  <c r="AW164"/>
  <c r="AY163"/>
  <c r="AT360"/>
  <c r="AM360"/>
  <c r="AM311"/>
  <c r="AT311"/>
  <c r="AU326"/>
  <c r="AN326"/>
  <c r="AP228"/>
  <c r="AO228"/>
  <c r="AM250"/>
  <c r="AT250"/>
  <c r="AR367"/>
  <c r="AR430"/>
  <c r="Z273"/>
  <c r="R349"/>
  <c r="AW336"/>
  <c r="AY330"/>
  <c r="AB188"/>
  <c r="AM292"/>
  <c r="AO115"/>
  <c r="AT66"/>
  <c r="AR365"/>
  <c r="AR366"/>
  <c r="AQ73"/>
  <c r="AU362"/>
  <c r="AN362"/>
  <c r="AM293"/>
  <c r="AT293"/>
  <c r="AP362"/>
  <c r="AB318"/>
  <c r="W343"/>
  <c r="W344"/>
  <c r="W349"/>
  <c r="AB316"/>
  <c r="AB302"/>
  <c r="AF302"/>
  <c r="AC302"/>
  <c r="AD302"/>
  <c r="AP255"/>
  <c r="AB198"/>
  <c r="AH206"/>
  <c r="R202"/>
  <c r="AG202"/>
  <c r="AG423"/>
  <c r="AN174"/>
  <c r="AW152"/>
  <c r="AV439"/>
  <c r="AK231"/>
  <c r="AT231"/>
  <c r="AP302"/>
  <c r="AP206"/>
  <c r="AO168"/>
  <c r="AT36"/>
  <c r="AT18"/>
  <c r="AB326"/>
  <c r="AH241"/>
  <c r="AB63"/>
  <c r="AE63"/>
  <c r="AF63"/>
  <c r="AC63"/>
  <c r="AD63"/>
  <c r="AH19"/>
  <c r="AB49"/>
  <c r="K413"/>
  <c r="AO125"/>
  <c r="AQ58"/>
  <c r="AB82"/>
  <c r="B278"/>
  <c r="B279"/>
  <c r="B280"/>
  <c r="B283"/>
  <c r="B284"/>
  <c r="B285"/>
  <c r="B286"/>
  <c r="B291"/>
  <c r="B292"/>
  <c r="B293"/>
  <c r="B294"/>
  <c r="B295"/>
  <c r="B296"/>
  <c r="B297"/>
  <c r="B298"/>
  <c r="B301"/>
  <c r="B302"/>
  <c r="B303"/>
  <c r="B304"/>
  <c r="B305"/>
  <c r="B306"/>
  <c r="B307"/>
  <c r="B308"/>
  <c r="B309"/>
  <c r="B310"/>
  <c r="B311"/>
  <c r="B312"/>
  <c r="B315"/>
  <c r="B316"/>
  <c r="B317"/>
  <c r="B318"/>
  <c r="B319"/>
  <c r="B325"/>
  <c r="B330"/>
  <c r="B331"/>
  <c r="B332"/>
  <c r="B333"/>
  <c r="B334"/>
  <c r="B335"/>
  <c r="B338"/>
  <c r="B339"/>
  <c r="B340"/>
  <c r="B341"/>
  <c r="B342"/>
  <c r="B347"/>
  <c r="B353"/>
  <c r="B354"/>
  <c r="B357"/>
  <c r="B358"/>
  <c r="B359"/>
  <c r="B360"/>
  <c r="B361"/>
  <c r="B362"/>
  <c r="B365"/>
  <c r="B370"/>
  <c r="B373"/>
  <c r="B374"/>
  <c r="B375"/>
  <c r="B376"/>
  <c r="B381"/>
  <c r="B384"/>
  <c r="B385"/>
  <c r="B386"/>
  <c r="B387"/>
  <c r="B388"/>
  <c r="B389"/>
  <c r="B390"/>
  <c r="B391"/>
  <c r="B394"/>
  <c r="B399"/>
  <c r="AB280"/>
  <c r="AE280"/>
  <c r="AF280"/>
  <c r="AC280"/>
  <c r="AJ288"/>
  <c r="AJ426"/>
  <c r="AN189"/>
  <c r="AO304"/>
  <c r="AP304"/>
  <c r="AT198"/>
  <c r="AM198"/>
  <c r="AB40"/>
  <c r="AM174"/>
  <c r="AT174"/>
  <c r="AN105"/>
  <c r="AU105"/>
  <c r="AB228"/>
  <c r="AT310"/>
  <c r="AM310"/>
  <c r="AF169"/>
  <c r="AC169"/>
  <c r="AD169"/>
  <c r="AT39"/>
  <c r="AT102"/>
  <c r="AH42"/>
  <c r="AH418"/>
  <c r="AR420"/>
  <c r="AO262"/>
  <c r="AP262"/>
  <c r="AN133"/>
  <c r="AU133"/>
  <c r="AW172"/>
  <c r="AW223"/>
  <c r="AY219"/>
  <c r="AH211"/>
  <c r="AF255"/>
  <c r="AC255"/>
  <c r="AD255"/>
  <c r="AW201"/>
  <c r="AY198"/>
  <c r="AM262"/>
  <c r="AI160"/>
  <c r="Z126"/>
  <c r="AM121"/>
  <c r="AM229"/>
  <c r="AB118"/>
  <c r="AB35"/>
  <c r="AX35"/>
  <c r="BA35"/>
  <c r="AG160"/>
  <c r="AG421"/>
  <c r="AT65"/>
  <c r="AB94"/>
  <c r="AU73"/>
  <c r="AU47"/>
  <c r="AB79"/>
  <c r="AS127"/>
  <c r="AP149"/>
  <c r="AO149"/>
  <c r="AB149"/>
  <c r="AT254"/>
  <c r="AM254"/>
  <c r="AU67"/>
  <c r="AN67"/>
  <c r="AW179"/>
  <c r="AY174"/>
  <c r="AH267"/>
  <c r="AM69"/>
  <c r="AT69"/>
  <c r="AP169"/>
  <c r="AO169"/>
  <c r="AU167"/>
  <c r="AN167"/>
  <c r="AB215"/>
  <c r="AW273"/>
  <c r="AY270"/>
  <c r="AW159"/>
  <c r="AY156"/>
  <c r="AG288"/>
  <c r="AG426"/>
  <c r="AH255"/>
  <c r="AB26"/>
  <c r="AH27"/>
  <c r="AH416"/>
  <c r="AB80"/>
  <c r="AE80"/>
  <c r="AF80"/>
  <c r="AC80"/>
  <c r="AD80"/>
  <c r="AD280"/>
  <c r="AO261"/>
  <c r="AB261"/>
  <c r="AB267"/>
  <c r="AU138"/>
  <c r="AN138"/>
  <c r="AH262"/>
  <c r="AU254"/>
  <c r="AN254"/>
  <c r="AU63"/>
  <c r="AN63"/>
  <c r="AR280"/>
  <c r="AY276"/>
  <c r="AV453"/>
  <c r="AU280"/>
  <c r="S453"/>
  <c r="T453"/>
  <c r="AY66"/>
  <c r="AW87"/>
  <c r="AW419"/>
  <c r="AB66"/>
  <c r="AT66" i="41"/>
  <c r="AM66"/>
  <c r="P21" i="42"/>
  <c r="H17"/>
  <c r="P17"/>
  <c r="H13"/>
  <c r="H8"/>
  <c r="P8"/>
  <c r="P25"/>
  <c r="I128" i="8"/>
  <c r="J128"/>
  <c r="K128"/>
  <c r="K130"/>
  <c r="H4" i="42"/>
  <c r="AF247" i="41"/>
  <c r="AC247"/>
  <c r="AD247"/>
  <c r="AE438"/>
  <c r="AE420"/>
  <c r="AS442"/>
  <c r="AS433"/>
  <c r="AF269"/>
  <c r="AJ421"/>
  <c r="AW434"/>
  <c r="AW443"/>
  <c r="AH205"/>
  <c r="AF205"/>
  <c r="AR420"/>
  <c r="AR438"/>
  <c r="I413"/>
  <c r="AX41"/>
  <c r="AE41"/>
  <c r="AF41"/>
  <c r="AC41"/>
  <c r="AD41"/>
  <c r="AF385"/>
  <c r="AC385"/>
  <c r="AD385"/>
  <c r="AR441"/>
  <c r="AR430"/>
  <c r="AF360"/>
  <c r="AC360"/>
  <c r="AD360"/>
  <c r="AJ428"/>
  <c r="AJ349"/>
  <c r="AJ440"/>
  <c r="AF99"/>
  <c r="AC99"/>
  <c r="AD99"/>
  <c r="AF255"/>
  <c r="AC255"/>
  <c r="AD255"/>
  <c r="AJ438"/>
  <c r="AJ420"/>
  <c r="AQ389"/>
  <c r="AB389"/>
  <c r="AK406"/>
  <c r="AM403"/>
  <c r="AM406"/>
  <c r="AT403"/>
  <c r="AU388"/>
  <c r="AN388"/>
  <c r="AR433"/>
  <c r="AR442"/>
  <c r="AM387"/>
  <c r="AT387"/>
  <c r="AQ358"/>
  <c r="AQ363"/>
  <c r="AQ367"/>
  <c r="AA363"/>
  <c r="AA367"/>
  <c r="AP354"/>
  <c r="AB354"/>
  <c r="AO354"/>
  <c r="AH328"/>
  <c r="AA325"/>
  <c r="AS441"/>
  <c r="AS430"/>
  <c r="AL328"/>
  <c r="AN325"/>
  <c r="AN328"/>
  <c r="AU325"/>
  <c r="AU328"/>
  <c r="AP310"/>
  <c r="AO310"/>
  <c r="AH310"/>
  <c r="AO400"/>
  <c r="AO401"/>
  <c r="Z401"/>
  <c r="Z407"/>
  <c r="AP400"/>
  <c r="AP401"/>
  <c r="AT359"/>
  <c r="AM359"/>
  <c r="AN309"/>
  <c r="AU309"/>
  <c r="AT246"/>
  <c r="AM246"/>
  <c r="AS317"/>
  <c r="AR317"/>
  <c r="AO292"/>
  <c r="AP292"/>
  <c r="AT342"/>
  <c r="AM342"/>
  <c r="AT327"/>
  <c r="AM327"/>
  <c r="AF293"/>
  <c r="AC293"/>
  <c r="AH293"/>
  <c r="AD293"/>
  <c r="AR275"/>
  <c r="AR288"/>
  <c r="AR426"/>
  <c r="AS275"/>
  <c r="AU283"/>
  <c r="AU287"/>
  <c r="AL287"/>
  <c r="AN283"/>
  <c r="AN287"/>
  <c r="AF256"/>
  <c r="AC256"/>
  <c r="AD256"/>
  <c r="AP232"/>
  <c r="AO232"/>
  <c r="AT192"/>
  <c r="AM192"/>
  <c r="AH159"/>
  <c r="AA154"/>
  <c r="AN341"/>
  <c r="AU341"/>
  <c r="AN306"/>
  <c r="AU306"/>
  <c r="AN257"/>
  <c r="AU257"/>
  <c r="AB212"/>
  <c r="AU193"/>
  <c r="AN193"/>
  <c r="AR239"/>
  <c r="W241"/>
  <c r="W242"/>
  <c r="AS239"/>
  <c r="AE221"/>
  <c r="AF221"/>
  <c r="AC221"/>
  <c r="AD221"/>
  <c r="AS154"/>
  <c r="W159"/>
  <c r="W160"/>
  <c r="AR154"/>
  <c r="AM178"/>
  <c r="AT178"/>
  <c r="AO147"/>
  <c r="AP147"/>
  <c r="AT142"/>
  <c r="AK152"/>
  <c r="AM142"/>
  <c r="AM139"/>
  <c r="AT139"/>
  <c r="AE80"/>
  <c r="AF80"/>
  <c r="AC80"/>
  <c r="AR157"/>
  <c r="AS157"/>
  <c r="AN134"/>
  <c r="AU134"/>
  <c r="AN97"/>
  <c r="AU97"/>
  <c r="AM183"/>
  <c r="AM185"/>
  <c r="AT183"/>
  <c r="AT185"/>
  <c r="AK185"/>
  <c r="AM171"/>
  <c r="AT171"/>
  <c r="AT172"/>
  <c r="AT122"/>
  <c r="AM122"/>
  <c r="AH103"/>
  <c r="AF103"/>
  <c r="AC103"/>
  <c r="AD103"/>
  <c r="AU90"/>
  <c r="AL113"/>
  <c r="AL127"/>
  <c r="AN90"/>
  <c r="AQ35"/>
  <c r="AB35"/>
  <c r="AU109"/>
  <c r="AN109"/>
  <c r="AO97"/>
  <c r="AP97"/>
  <c r="AN86"/>
  <c r="AU86"/>
  <c r="AE71"/>
  <c r="AF71"/>
  <c r="AC71"/>
  <c r="AD71"/>
  <c r="AM22"/>
  <c r="AT22"/>
  <c r="AU252"/>
  <c r="AN252"/>
  <c r="AR158"/>
  <c r="AS158"/>
  <c r="AB144"/>
  <c r="AN73"/>
  <c r="AU73"/>
  <c r="AM58"/>
  <c r="AT58"/>
  <c r="AE49"/>
  <c r="AF49"/>
  <c r="AC49"/>
  <c r="AD49"/>
  <c r="AP17"/>
  <c r="AO17"/>
  <c r="AW202"/>
  <c r="AW423"/>
  <c r="AE69"/>
  <c r="AF69"/>
  <c r="AC69"/>
  <c r="AD69"/>
  <c r="AE47"/>
  <c r="AF47"/>
  <c r="AC47"/>
  <c r="AD47"/>
  <c r="AX47"/>
  <c r="AM24"/>
  <c r="AT24"/>
  <c r="AP409"/>
  <c r="AP412"/>
  <c r="AO409"/>
  <c r="AO412"/>
  <c r="Z412"/>
  <c r="Z406"/>
  <c r="AP403"/>
  <c r="AO403"/>
  <c r="AG442"/>
  <c r="AG433"/>
  <c r="AT401"/>
  <c r="AN387"/>
  <c r="AU387"/>
  <c r="AH400"/>
  <c r="AH401"/>
  <c r="AE395"/>
  <c r="AE396"/>
  <c r="AE432"/>
  <c r="AF394"/>
  <c r="Z382"/>
  <c r="AP381"/>
  <c r="AP382"/>
  <c r="AO381"/>
  <c r="AO382"/>
  <c r="AO396"/>
  <c r="AO432"/>
  <c r="AN376"/>
  <c r="AU376"/>
  <c r="AM354"/>
  <c r="AT354"/>
  <c r="AW353"/>
  <c r="AW355"/>
  <c r="AB353"/>
  <c r="R355"/>
  <c r="R367"/>
  <c r="AL353"/>
  <c r="Z353"/>
  <c r="AK353"/>
  <c r="AG344"/>
  <c r="AC384"/>
  <c r="AQ335"/>
  <c r="AB335"/>
  <c r="AH320"/>
  <c r="AA315"/>
  <c r="AT308"/>
  <c r="AM308"/>
  <c r="AD295"/>
  <c r="AE279"/>
  <c r="AF279"/>
  <c r="AC279"/>
  <c r="AD279"/>
  <c r="AN391"/>
  <c r="AU391"/>
  <c r="R344"/>
  <c r="R349"/>
  <c r="AB310"/>
  <c r="AM303"/>
  <c r="AT303"/>
  <c r="AP294"/>
  <c r="AO294"/>
  <c r="AB294"/>
  <c r="AS276"/>
  <c r="AR276"/>
  <c r="AB276"/>
  <c r="AM270"/>
  <c r="AM273"/>
  <c r="AT270"/>
  <c r="AT273"/>
  <c r="AK273"/>
  <c r="AU265"/>
  <c r="AN265"/>
  <c r="AT219"/>
  <c r="AM219"/>
  <c r="AM404"/>
  <c r="AT404"/>
  <c r="AF404"/>
  <c r="AC404"/>
  <c r="AD404"/>
  <c r="AM400"/>
  <c r="AT400"/>
  <c r="AW400"/>
  <c r="AW401"/>
  <c r="AW407"/>
  <c r="AB400"/>
  <c r="AA373"/>
  <c r="AB373"/>
  <c r="AH377"/>
  <c r="AP373"/>
  <c r="AP377"/>
  <c r="Z377"/>
  <c r="AO373"/>
  <c r="AO377"/>
  <c r="AH348"/>
  <c r="AH429"/>
  <c r="AA347"/>
  <c r="AD340"/>
  <c r="AE340"/>
  <c r="AF340"/>
  <c r="AC340"/>
  <c r="AK343"/>
  <c r="AW320"/>
  <c r="AD309"/>
  <c r="AM302"/>
  <c r="AT302"/>
  <c r="AP330"/>
  <c r="AO330"/>
  <c r="Z336"/>
  <c r="AU317"/>
  <c r="AN317"/>
  <c r="P321"/>
  <c r="AP297"/>
  <c r="AO297"/>
  <c r="AB292"/>
  <c r="AD384"/>
  <c r="AN319"/>
  <c r="AU319"/>
  <c r="AT377"/>
  <c r="AH363"/>
  <c r="AP332"/>
  <c r="AO332"/>
  <c r="AI344"/>
  <c r="AB327"/>
  <c r="AP304"/>
  <c r="AO304"/>
  <c r="AB304"/>
  <c r="AM293"/>
  <c r="AT293"/>
  <c r="AR280"/>
  <c r="AS280"/>
  <c r="AP253"/>
  <c r="AO253"/>
  <c r="AA299"/>
  <c r="AQ295"/>
  <c r="AQ299"/>
  <c r="AP263"/>
  <c r="AO263"/>
  <c r="AO267"/>
  <c r="AW287"/>
  <c r="AO262"/>
  <c r="AP262"/>
  <c r="Z267"/>
  <c r="AL267"/>
  <c r="AU256"/>
  <c r="AN256"/>
  <c r="AF234"/>
  <c r="AC234"/>
  <c r="AD234"/>
  <c r="AN232"/>
  <c r="AU232"/>
  <c r="AH231"/>
  <c r="AM211"/>
  <c r="AT211"/>
  <c r="AT201"/>
  <c r="AF191"/>
  <c r="AC191"/>
  <c r="AD191"/>
  <c r="AB188"/>
  <c r="AO187"/>
  <c r="Z194"/>
  <c r="AP187"/>
  <c r="AQ177"/>
  <c r="AB177"/>
  <c r="AB154"/>
  <c r="AR341"/>
  <c r="AS341"/>
  <c r="AB341"/>
  <c r="AO306"/>
  <c r="AP306"/>
  <c r="AT306"/>
  <c r="AM306"/>
  <c r="AO248"/>
  <c r="AP248"/>
  <c r="AC227"/>
  <c r="AF229"/>
  <c r="AR201"/>
  <c r="AR202"/>
  <c r="AR423"/>
  <c r="AW194"/>
  <c r="AO251"/>
  <c r="AP251"/>
  <c r="AM251"/>
  <c r="AT251"/>
  <c r="AJ288"/>
  <c r="AJ426"/>
  <c r="AN239"/>
  <c r="AN241"/>
  <c r="AU239"/>
  <c r="AL241"/>
  <c r="AB235"/>
  <c r="R216"/>
  <c r="R224"/>
  <c r="AK209"/>
  <c r="AL209"/>
  <c r="Z209"/>
  <c r="AW209"/>
  <c r="AW216"/>
  <c r="AN199"/>
  <c r="AU199"/>
  <c r="AL159"/>
  <c r="AU154"/>
  <c r="AN154"/>
  <c r="AF148"/>
  <c r="AC148"/>
  <c r="AD148"/>
  <c r="AT167"/>
  <c r="AK172"/>
  <c r="AM167"/>
  <c r="AM144"/>
  <c r="AT144"/>
  <c r="AP142"/>
  <c r="Z152"/>
  <c r="AO142"/>
  <c r="AB142"/>
  <c r="AN138"/>
  <c r="AU138"/>
  <c r="AM133"/>
  <c r="AT133"/>
  <c r="AN132"/>
  <c r="AU132"/>
  <c r="AG421"/>
  <c r="AP118"/>
  <c r="AO118"/>
  <c r="AE83"/>
  <c r="AF83"/>
  <c r="AC83"/>
  <c r="AD83"/>
  <c r="AE79"/>
  <c r="AF79"/>
  <c r="AC79"/>
  <c r="AD79"/>
  <c r="AS71"/>
  <c r="AR71"/>
  <c r="AE25"/>
  <c r="AF25"/>
  <c r="AC25"/>
  <c r="AD25"/>
  <c r="AX25"/>
  <c r="AF168"/>
  <c r="AC168"/>
  <c r="AD168"/>
  <c r="AN156"/>
  <c r="AU156"/>
  <c r="AA140"/>
  <c r="AQ135"/>
  <c r="AQ140"/>
  <c r="AM120"/>
  <c r="AT120"/>
  <c r="Z126"/>
  <c r="AL370"/>
  <c r="AW370"/>
  <c r="AW371"/>
  <c r="AK370"/>
  <c r="Z370"/>
  <c r="R371"/>
  <c r="R378"/>
  <c r="R202"/>
  <c r="AP149"/>
  <c r="AO149"/>
  <c r="AO131"/>
  <c r="Z140"/>
  <c r="Z160"/>
  <c r="AP131"/>
  <c r="AQ121"/>
  <c r="AB121"/>
  <c r="AB97"/>
  <c r="AQ62"/>
  <c r="AB62"/>
  <c r="AQ26"/>
  <c r="AB26"/>
  <c r="AM189"/>
  <c r="AT189"/>
  <c r="AS176"/>
  <c r="AR176"/>
  <c r="AO167"/>
  <c r="AP167"/>
  <c r="AB157"/>
  <c r="AP116"/>
  <c r="AO116"/>
  <c r="AD109"/>
  <c r="AN105"/>
  <c r="AU105"/>
  <c r="AN85"/>
  <c r="AU85"/>
  <c r="AN81"/>
  <c r="AU81"/>
  <c r="AN77"/>
  <c r="AU77"/>
  <c r="AK87"/>
  <c r="AK419"/>
  <c r="AM44"/>
  <c r="AT44"/>
  <c r="AX40"/>
  <c r="AE40"/>
  <c r="AF40"/>
  <c r="AC40"/>
  <c r="AD40"/>
  <c r="AX36"/>
  <c r="AE36"/>
  <c r="AF36"/>
  <c r="AC36"/>
  <c r="AD36"/>
  <c r="AN31"/>
  <c r="AU31"/>
  <c r="AN25"/>
  <c r="AU25"/>
  <c r="AW452"/>
  <c r="AT252"/>
  <c r="AM252"/>
  <c r="AP206"/>
  <c r="AO206"/>
  <c r="AH167"/>
  <c r="AH172"/>
  <c r="AU158"/>
  <c r="AN158"/>
  <c r="AP135"/>
  <c r="AO135"/>
  <c r="AA115"/>
  <c r="AV439"/>
  <c r="AO93"/>
  <c r="AP93"/>
  <c r="AN92"/>
  <c r="AU92"/>
  <c r="AT92"/>
  <c r="AM92"/>
  <c r="AN91"/>
  <c r="AU91"/>
  <c r="AM59"/>
  <c r="AT59"/>
  <c r="AE52"/>
  <c r="AF52"/>
  <c r="AC52"/>
  <c r="AD52"/>
  <c r="AN50"/>
  <c r="AU50"/>
  <c r="AL32"/>
  <c r="AL417"/>
  <c r="AN30"/>
  <c r="AU30"/>
  <c r="AX37"/>
  <c r="AE37"/>
  <c r="AF37"/>
  <c r="AC37"/>
  <c r="AD37"/>
  <c r="T413"/>
  <c r="AF110"/>
  <c r="AC110"/>
  <c r="AD110"/>
  <c r="AF106"/>
  <c r="AC106"/>
  <c r="AD106"/>
  <c r="AN104"/>
  <c r="AU104"/>
  <c r="AO98"/>
  <c r="AP98"/>
  <c r="AH118"/>
  <c r="AA118"/>
  <c r="AQ118"/>
  <c r="AE74"/>
  <c r="AF74"/>
  <c r="AC74"/>
  <c r="AD74"/>
  <c r="AN54"/>
  <c r="AU54"/>
  <c r="AX46"/>
  <c r="AE46"/>
  <c r="AF46"/>
  <c r="AC46"/>
  <c r="AD46"/>
  <c r="AE64"/>
  <c r="AF64"/>
  <c r="AC64"/>
  <c r="AD64"/>
  <c r="AE66"/>
  <c r="AF66"/>
  <c r="AC66"/>
  <c r="AD66"/>
  <c r="AQ385"/>
  <c r="AQ392"/>
  <c r="AQ396"/>
  <c r="AQ432"/>
  <c r="AA392"/>
  <c r="AA396"/>
  <c r="AK363"/>
  <c r="AM357"/>
  <c r="AM363"/>
  <c r="AT357"/>
  <c r="AT363"/>
  <c r="T441"/>
  <c r="T430"/>
  <c r="AA330"/>
  <c r="AM391"/>
  <c r="AT391"/>
  <c r="AI441"/>
  <c r="AI430"/>
  <c r="AU294"/>
  <c r="AN294"/>
  <c r="AQ236"/>
  <c r="AB236"/>
  <c r="AE442"/>
  <c r="AE433"/>
  <c r="AU373"/>
  <c r="AU377"/>
  <c r="AN373"/>
  <c r="AN377"/>
  <c r="AL377"/>
  <c r="AN358"/>
  <c r="AN363"/>
  <c r="AU358"/>
  <c r="AU363"/>
  <c r="AV441"/>
  <c r="AV430"/>
  <c r="AT319"/>
  <c r="AM319"/>
  <c r="AU297"/>
  <c r="AN297"/>
  <c r="AH392"/>
  <c r="AR319"/>
  <c r="AS319"/>
  <c r="AF405"/>
  <c r="AC405"/>
  <c r="AD405"/>
  <c r="AU304"/>
  <c r="AN304"/>
  <c r="AG441"/>
  <c r="AG430"/>
  <c r="AQ269"/>
  <c r="AN253"/>
  <c r="AU253"/>
  <c r="AF326"/>
  <c r="AC326"/>
  <c r="AD326"/>
  <c r="AU249"/>
  <c r="AN249"/>
  <c r="AR197"/>
  <c r="AS197"/>
  <c r="AS201"/>
  <c r="AS202"/>
  <c r="AS423"/>
  <c r="AA166"/>
  <c r="AA260"/>
  <c r="AO247"/>
  <c r="AP247"/>
  <c r="AU221"/>
  <c r="AU223"/>
  <c r="AN221"/>
  <c r="AN223"/>
  <c r="AU184"/>
  <c r="AN184"/>
  <c r="AH232"/>
  <c r="AA232"/>
  <c r="AQ232"/>
  <c r="AL194"/>
  <c r="AT151"/>
  <c r="AM151"/>
  <c r="S439"/>
  <c r="AU131"/>
  <c r="AL140"/>
  <c r="AN131"/>
  <c r="AE84"/>
  <c r="AF84"/>
  <c r="AC84"/>
  <c r="AD84"/>
  <c r="AE76"/>
  <c r="AF76"/>
  <c r="AC76"/>
  <c r="AD76"/>
  <c r="AA29"/>
  <c r="AH32"/>
  <c r="AH417"/>
  <c r="AM176"/>
  <c r="AT176"/>
  <c r="AQ117"/>
  <c r="AB117"/>
  <c r="AA44"/>
  <c r="AH87"/>
  <c r="AH419"/>
  <c r="AE158"/>
  <c r="AF158"/>
  <c r="AC158"/>
  <c r="AD158"/>
  <c r="AT145"/>
  <c r="AM145"/>
  <c r="AF136"/>
  <c r="AC136"/>
  <c r="AD136"/>
  <c r="AN124"/>
  <c r="AU124"/>
  <c r="AU126"/>
  <c r="AN116"/>
  <c r="AU116"/>
  <c r="AH102"/>
  <c r="AD102"/>
  <c r="AN78"/>
  <c r="AU78"/>
  <c r="AN47"/>
  <c r="AU47"/>
  <c r="AM26"/>
  <c r="AT26"/>
  <c r="AN206"/>
  <c r="AN207"/>
  <c r="AU206"/>
  <c r="AU207"/>
  <c r="AU176"/>
  <c r="AN176"/>
  <c r="AO136"/>
  <c r="AP136"/>
  <c r="AN103"/>
  <c r="AU103"/>
  <c r="AN93"/>
  <c r="AU93"/>
  <c r="AT91"/>
  <c r="AM91"/>
  <c r="AN52"/>
  <c r="AU52"/>
  <c r="AP30"/>
  <c r="AP32"/>
  <c r="AP417"/>
  <c r="Z32"/>
  <c r="AO30"/>
  <c r="AO32"/>
  <c r="AO417"/>
  <c r="AN17"/>
  <c r="AU17"/>
  <c r="AU447"/>
  <c r="AM104"/>
  <c r="AT104"/>
  <c r="AN98"/>
  <c r="AU98"/>
  <c r="AU111"/>
  <c r="AN111"/>
  <c r="AE72"/>
  <c r="AF72"/>
  <c r="AC72"/>
  <c r="AD72"/>
  <c r="G13"/>
  <c r="G16"/>
  <c r="AJ12"/>
  <c r="N12"/>
  <c r="AI12"/>
  <c r="S453"/>
  <c r="S454"/>
  <c r="AU409"/>
  <c r="AU412"/>
  <c r="AN409"/>
  <c r="AN412"/>
  <c r="AL412"/>
  <c r="AQ410"/>
  <c r="AB410"/>
  <c r="AD390"/>
  <c r="AU403"/>
  <c r="AU406"/>
  <c r="AL406"/>
  <c r="AN403"/>
  <c r="AN406"/>
  <c r="AM388"/>
  <c r="AT388"/>
  <c r="AM401"/>
  <c r="AD387"/>
  <c r="AP385"/>
  <c r="AO385"/>
  <c r="AF381"/>
  <c r="AB382"/>
  <c r="AU354"/>
  <c r="AN354"/>
  <c r="P367"/>
  <c r="AP334"/>
  <c r="AO334"/>
  <c r="AP311"/>
  <c r="AO311"/>
  <c r="AQ271"/>
  <c r="AB271"/>
  <c r="AH409"/>
  <c r="AF357"/>
  <c r="AT305"/>
  <c r="AM305"/>
  <c r="AB391"/>
  <c r="AU360"/>
  <c r="AN360"/>
  <c r="AO360"/>
  <c r="AP360"/>
  <c r="AR316"/>
  <c r="AS316"/>
  <c r="AT310"/>
  <c r="AM310"/>
  <c r="AP303"/>
  <c r="AO303"/>
  <c r="AH303"/>
  <c r="AH296"/>
  <c r="AA296"/>
  <c r="AB296"/>
  <c r="AL291"/>
  <c r="AK291"/>
  <c r="AW291"/>
  <c r="AW299"/>
  <c r="Z291"/>
  <c r="R299"/>
  <c r="AU276"/>
  <c r="AN276"/>
  <c r="AP270"/>
  <c r="AP273"/>
  <c r="AO270"/>
  <c r="AO273"/>
  <c r="AQ261"/>
  <c r="AB261"/>
  <c r="AN404"/>
  <c r="AU404"/>
  <c r="AH403"/>
  <c r="AN400"/>
  <c r="AN401"/>
  <c r="AN407"/>
  <c r="AU400"/>
  <c r="AU401"/>
  <c r="AU407"/>
  <c r="AW377"/>
  <c r="AF362"/>
  <c r="AC362"/>
  <c r="AD362"/>
  <c r="AN359"/>
  <c r="AU359"/>
  <c r="AB358"/>
  <c r="AJ430"/>
  <c r="AJ441"/>
  <c r="W320"/>
  <c r="W321"/>
  <c r="AR315"/>
  <c r="AR320"/>
  <c r="AR321"/>
  <c r="AR427"/>
  <c r="AS315"/>
  <c r="AS320"/>
  <c r="AS321"/>
  <c r="AS427"/>
  <c r="AN302"/>
  <c r="AU302"/>
  <c r="AW273"/>
  <c r="AM261"/>
  <c r="AT261"/>
  <c r="AU254"/>
  <c r="AN254"/>
  <c r="AE219"/>
  <c r="AF219"/>
  <c r="AC219"/>
  <c r="AD219"/>
  <c r="AK336"/>
  <c r="AT330"/>
  <c r="AT336"/>
  <c r="AM330"/>
  <c r="AM336"/>
  <c r="AL336"/>
  <c r="AU330"/>
  <c r="AN330"/>
  <c r="AB317"/>
  <c r="AH311"/>
  <c r="AA311"/>
  <c r="AQ311"/>
  <c r="AF297"/>
  <c r="AC297"/>
  <c r="AD297"/>
  <c r="AH270"/>
  <c r="AN384"/>
  <c r="AL392"/>
  <c r="AU384"/>
  <c r="AW392"/>
  <c r="AW396"/>
  <c r="AW432"/>
  <c r="AB319"/>
  <c r="AF361"/>
  <c r="AC361"/>
  <c r="AD361"/>
  <c r="AR342"/>
  <c r="AS342"/>
  <c r="AN342"/>
  <c r="AU342"/>
  <c r="AS343"/>
  <c r="AS344"/>
  <c r="AT332"/>
  <c r="AM332"/>
  <c r="AN293"/>
  <c r="AU293"/>
  <c r="AN280"/>
  <c r="AU280"/>
  <c r="AK281"/>
  <c r="AM275"/>
  <c r="AM281"/>
  <c r="AT275"/>
  <c r="AT281"/>
  <c r="AT253"/>
  <c r="AM253"/>
  <c r="AP212"/>
  <c r="AO212"/>
  <c r="AA283"/>
  <c r="AH287"/>
  <c r="AT263"/>
  <c r="AM263"/>
  <c r="AU262"/>
  <c r="AN262"/>
  <c r="AN267"/>
  <c r="AN250"/>
  <c r="AU250"/>
  <c r="AS240"/>
  <c r="AR240"/>
  <c r="AB240"/>
  <c r="AM220"/>
  <c r="AT220"/>
  <c r="AH262"/>
  <c r="AA262"/>
  <c r="AQ262"/>
  <c r="AO249"/>
  <c r="AP249"/>
  <c r="AA239"/>
  <c r="AH241"/>
  <c r="Z237"/>
  <c r="Z242"/>
  <c r="AO231"/>
  <c r="AP231"/>
  <c r="AP237"/>
  <c r="AP242"/>
  <c r="AP425"/>
  <c r="AW237"/>
  <c r="AP215"/>
  <c r="AO215"/>
  <c r="AH215"/>
  <c r="AA215"/>
  <c r="AQ215"/>
  <c r="AP205"/>
  <c r="AO205"/>
  <c r="Z207"/>
  <c r="AW207"/>
  <c r="AA201"/>
  <c r="AQ196"/>
  <c r="AQ201"/>
  <c r="AB196"/>
  <c r="AM341"/>
  <c r="AM343"/>
  <c r="AT341"/>
  <c r="AT343"/>
  <c r="AP307"/>
  <c r="AO307"/>
  <c r="AH306"/>
  <c r="AA275"/>
  <c r="AP257"/>
  <c r="AO257"/>
  <c r="AB248"/>
  <c r="AH187"/>
  <c r="AM221"/>
  <c r="AT221"/>
  <c r="AU198"/>
  <c r="AU201"/>
  <c r="AN198"/>
  <c r="AP190"/>
  <c r="AO190"/>
  <c r="AN229"/>
  <c r="AK223"/>
  <c r="AB193"/>
  <c r="AU178"/>
  <c r="AN178"/>
  <c r="AE155"/>
  <c r="AF155"/>
  <c r="AC155"/>
  <c r="AD155"/>
  <c r="AQ150"/>
  <c r="AB150"/>
  <c r="AH147"/>
  <c r="AA147"/>
  <c r="AQ147"/>
  <c r="AW152"/>
  <c r="AU137"/>
  <c r="AN137"/>
  <c r="AT134"/>
  <c r="AM134"/>
  <c r="AO133"/>
  <c r="AB133"/>
  <c r="AP133"/>
  <c r="AH131"/>
  <c r="AF131"/>
  <c r="AN122"/>
  <c r="AU122"/>
  <c r="AP95"/>
  <c r="AO95"/>
  <c r="AE86"/>
  <c r="AF86"/>
  <c r="AC86"/>
  <c r="AD86"/>
  <c r="AE82"/>
  <c r="AF82"/>
  <c r="AC82"/>
  <c r="AD82"/>
  <c r="AE78"/>
  <c r="AF78"/>
  <c r="AC78"/>
  <c r="AD78"/>
  <c r="AE61"/>
  <c r="AF61"/>
  <c r="AC61"/>
  <c r="AD61"/>
  <c r="AX61"/>
  <c r="AE31"/>
  <c r="AF31"/>
  <c r="AC31"/>
  <c r="AD31"/>
  <c r="AV413"/>
  <c r="S413"/>
  <c r="AF171"/>
  <c r="AC171"/>
  <c r="AD171"/>
  <c r="AO168"/>
  <c r="AP168"/>
  <c r="AR156"/>
  <c r="AS156"/>
  <c r="AD134"/>
  <c r="S438"/>
  <c r="S420"/>
  <c r="S435"/>
  <c r="AP183"/>
  <c r="AP185"/>
  <c r="Z185"/>
  <c r="Z202"/>
  <c r="AO183"/>
  <c r="AO185"/>
  <c r="Z163"/>
  <c r="AK163"/>
  <c r="AL163"/>
  <c r="R164"/>
  <c r="AW163"/>
  <c r="AW164"/>
  <c r="AN149"/>
  <c r="AU149"/>
  <c r="AF132"/>
  <c r="AC132"/>
  <c r="AD132"/>
  <c r="AK140"/>
  <c r="AM131"/>
  <c r="AT131"/>
  <c r="AU106"/>
  <c r="AN106"/>
  <c r="AT56"/>
  <c r="AM56"/>
  <c r="AA22"/>
  <c r="AH27"/>
  <c r="AB223"/>
  <c r="AE218"/>
  <c r="AB175"/>
  <c r="AP145"/>
  <c r="AO145"/>
  <c r="AB145"/>
  <c r="AI439"/>
  <c r="AI421"/>
  <c r="AN120"/>
  <c r="AU120"/>
  <c r="AO103"/>
  <c r="AP103"/>
  <c r="AH101"/>
  <c r="AH96"/>
  <c r="AD96"/>
  <c r="AM90"/>
  <c r="AT90"/>
  <c r="AK113"/>
  <c r="AN84"/>
  <c r="AU84"/>
  <c r="AN80"/>
  <c r="AU80"/>
  <c r="AN76"/>
  <c r="AU76"/>
  <c r="AE63"/>
  <c r="AF63"/>
  <c r="AC63"/>
  <c r="AD63"/>
  <c r="AE56"/>
  <c r="AF56"/>
  <c r="AC56"/>
  <c r="AD56"/>
  <c r="AM39"/>
  <c r="AT39"/>
  <c r="AM35"/>
  <c r="AM42"/>
  <c r="AM418"/>
  <c r="AT35"/>
  <c r="AX18"/>
  <c r="AE18"/>
  <c r="AF18"/>
  <c r="AC18"/>
  <c r="AD18"/>
  <c r="AO252"/>
  <c r="AP252"/>
  <c r="AM206"/>
  <c r="AT206"/>
  <c r="AO151"/>
  <c r="AP151"/>
  <c r="AO144"/>
  <c r="AP144"/>
  <c r="AN135"/>
  <c r="AU135"/>
  <c r="AF124"/>
  <c r="AC124"/>
  <c r="AD124"/>
  <c r="AV438"/>
  <c r="AV420"/>
  <c r="AV435"/>
  <c r="AF95"/>
  <c r="AC95"/>
  <c r="AD95"/>
  <c r="AM93"/>
  <c r="AT93"/>
  <c r="AO92"/>
  <c r="AP92"/>
  <c r="AH91"/>
  <c r="AD91"/>
  <c r="AM69"/>
  <c r="AT69"/>
  <c r="AE58"/>
  <c r="AF58"/>
  <c r="AC58"/>
  <c r="AD58"/>
  <c r="AE57"/>
  <c r="AF57"/>
  <c r="AC57"/>
  <c r="AD57"/>
  <c r="AB50"/>
  <c r="AM49"/>
  <c r="AT49"/>
  <c r="AB30"/>
  <c r="AB17"/>
  <c r="AF111"/>
  <c r="AC111"/>
  <c r="AD111"/>
  <c r="AR69"/>
  <c r="AS69"/>
  <c r="AT42"/>
  <c r="AT418"/>
  <c r="AN24"/>
  <c r="AU24"/>
  <c r="T435"/>
  <c r="AP104"/>
  <c r="AO104"/>
  <c r="AM98"/>
  <c r="AT98"/>
  <c r="AB24"/>
  <c r="AT111"/>
  <c r="AM111"/>
  <c r="AM73"/>
  <c r="AT73"/>
  <c r="AE54"/>
  <c r="AF54"/>
  <c r="AC54"/>
  <c r="AD54"/>
  <c r="AM53"/>
  <c r="AT53"/>
  <c r="AE434"/>
  <c r="AE443"/>
  <c r="AT386"/>
  <c r="AM386"/>
  <c r="AU365"/>
  <c r="AU366"/>
  <c r="AN365"/>
  <c r="AN366"/>
  <c r="AL366"/>
  <c r="AH396"/>
  <c r="AH432"/>
  <c r="AN339"/>
  <c r="AU339"/>
  <c r="AU343"/>
  <c r="AE316"/>
  <c r="AF316"/>
  <c r="AC316"/>
  <c r="AD316"/>
  <c r="AE286"/>
  <c r="AF286"/>
  <c r="AC286"/>
  <c r="AD286"/>
  <c r="AP265"/>
  <c r="AO265"/>
  <c r="AB265"/>
  <c r="AT384"/>
  <c r="AM384"/>
  <c r="AK392"/>
  <c r="AD307"/>
  <c r="AF307"/>
  <c r="AC307"/>
  <c r="AM248"/>
  <c r="AT248"/>
  <c r="AU235"/>
  <c r="AN235"/>
  <c r="AR199"/>
  <c r="AS199"/>
  <c r="AB199"/>
  <c r="AF170"/>
  <c r="AC170"/>
  <c r="AD170"/>
  <c r="AT320"/>
  <c r="AD149"/>
  <c r="AT135"/>
  <c r="AM135"/>
  <c r="AD105"/>
  <c r="AE38"/>
  <c r="AF38"/>
  <c r="AC38"/>
  <c r="AD38"/>
  <c r="AX38"/>
  <c r="AP255"/>
  <c r="AO255"/>
  <c r="AO137"/>
  <c r="AH137"/>
  <c r="AP137"/>
  <c r="AT63"/>
  <c r="AM63"/>
  <c r="AF189"/>
  <c r="AC189"/>
  <c r="AD189"/>
  <c r="AO125"/>
  <c r="AH125"/>
  <c r="AP125"/>
  <c r="AB125"/>
  <c r="AN82"/>
  <c r="AU82"/>
  <c r="AN61"/>
  <c r="AU61"/>
  <c r="AM116"/>
  <c r="AT116"/>
  <c r="AW116"/>
  <c r="AF102"/>
  <c r="AC102"/>
  <c r="AN41"/>
  <c r="AU41"/>
  <c r="AL87"/>
  <c r="AL419"/>
  <c r="AE73"/>
  <c r="AF73"/>
  <c r="AC73"/>
  <c r="AD73"/>
  <c r="AE53"/>
  <c r="AF53"/>
  <c r="AC53"/>
  <c r="AD53"/>
  <c r="AI434"/>
  <c r="AI443"/>
  <c r="AP388"/>
  <c r="AB388"/>
  <c r="AO388"/>
  <c r="AI433"/>
  <c r="AI442"/>
  <c r="AK401"/>
  <c r="AK407"/>
  <c r="AL401"/>
  <c r="AL407"/>
  <c r="AM385"/>
  <c r="AT385"/>
  <c r="AU385"/>
  <c r="AN385"/>
  <c r="AN381"/>
  <c r="AN382"/>
  <c r="AL382"/>
  <c r="AL396"/>
  <c r="AL432"/>
  <c r="AU381"/>
  <c r="AU382"/>
  <c r="AW363"/>
  <c r="AS339"/>
  <c r="AR339"/>
  <c r="AR343"/>
  <c r="AR344"/>
  <c r="AB339"/>
  <c r="AU334"/>
  <c r="AN334"/>
  <c r="AD318"/>
  <c r="AE318"/>
  <c r="AF318"/>
  <c r="AC318"/>
  <c r="AU311"/>
  <c r="AN311"/>
  <c r="AG434"/>
  <c r="AG443"/>
  <c r="AD298"/>
  <c r="AE285"/>
  <c r="AF285"/>
  <c r="AC285"/>
  <c r="AD285"/>
  <c r="AD272"/>
  <c r="AO391"/>
  <c r="AP391"/>
  <c r="AE366"/>
  <c r="AE367"/>
  <c r="AF365"/>
  <c r="AH360"/>
  <c r="AN343"/>
  <c r="AK328"/>
  <c r="AK344"/>
  <c r="AT325"/>
  <c r="AM325"/>
  <c r="AP325"/>
  <c r="AO325"/>
  <c r="Z328"/>
  <c r="AT316"/>
  <c r="AM316"/>
  <c r="AM320"/>
  <c r="AN310"/>
  <c r="AU310"/>
  <c r="AQ307"/>
  <c r="AQ313"/>
  <c r="AA313"/>
  <c r="AB303"/>
  <c r="AM294"/>
  <c r="AT294"/>
  <c r="AM286"/>
  <c r="AT286"/>
  <c r="AU270"/>
  <c r="AU273"/>
  <c r="AN270"/>
  <c r="AN273"/>
  <c r="Z273"/>
  <c r="AK443"/>
  <c r="AK434"/>
  <c r="AO404"/>
  <c r="AP404"/>
  <c r="R407"/>
  <c r="AF376"/>
  <c r="AC376"/>
  <c r="AD376"/>
  <c r="AB359"/>
  <c r="AP358"/>
  <c r="AP363"/>
  <c r="AO358"/>
  <c r="AH343"/>
  <c r="AL320"/>
  <c r="AN315"/>
  <c r="AN320"/>
  <c r="AU315"/>
  <c r="AM309"/>
  <c r="AT309"/>
  <c r="AD302"/>
  <c r="R301"/>
  <c r="AH297"/>
  <c r="AQ266"/>
  <c r="AB266"/>
  <c r="AD233"/>
  <c r="AK396"/>
  <c r="AK432"/>
  <c r="AH334"/>
  <c r="AA334"/>
  <c r="AQ334"/>
  <c r="AW336"/>
  <c r="AW344"/>
  <c r="AT317"/>
  <c r="AM317"/>
  <c r="AT292"/>
  <c r="AM292"/>
  <c r="AO384"/>
  <c r="AO392"/>
  <c r="AP384"/>
  <c r="AP392"/>
  <c r="Z392"/>
  <c r="AH354"/>
  <c r="AF338"/>
  <c r="AB342"/>
  <c r="W343"/>
  <c r="W344"/>
  <c r="W349"/>
  <c r="AB332"/>
  <c r="AP327"/>
  <c r="AO327"/>
  <c r="AO293"/>
  <c r="AP293"/>
  <c r="AB280"/>
  <c r="AN275"/>
  <c r="AU275"/>
  <c r="AL281"/>
  <c r="AL273"/>
  <c r="AB253"/>
  <c r="AU212"/>
  <c r="AN212"/>
  <c r="AE200"/>
  <c r="AF200"/>
  <c r="AC200"/>
  <c r="AD200"/>
  <c r="AH353"/>
  <c r="AH355"/>
  <c r="AH367"/>
  <c r="AB263"/>
  <c r="AK287"/>
  <c r="AM283"/>
  <c r="AT283"/>
  <c r="AR283"/>
  <c r="AR287"/>
  <c r="W287"/>
  <c r="AS283"/>
  <c r="AS287"/>
  <c r="AT262"/>
  <c r="AM262"/>
  <c r="AF257"/>
  <c r="AC257"/>
  <c r="AD257"/>
  <c r="AM256"/>
  <c r="AT256"/>
  <c r="AU240"/>
  <c r="AN240"/>
  <c r="AT232"/>
  <c r="AM232"/>
  <c r="AT229"/>
  <c r="AW227"/>
  <c r="AW229"/>
  <c r="AE220"/>
  <c r="AF220"/>
  <c r="AC220"/>
  <c r="AD220"/>
  <c r="AF213"/>
  <c r="AC213"/>
  <c r="AD213"/>
  <c r="AK237"/>
  <c r="AK242"/>
  <c r="AK425"/>
  <c r="AM231"/>
  <c r="AM237"/>
  <c r="AM242"/>
  <c r="AM425"/>
  <c r="AT231"/>
  <c r="AM215"/>
  <c r="AT215"/>
  <c r="AP211"/>
  <c r="AO211"/>
  <c r="AH211"/>
  <c r="AA211"/>
  <c r="AQ211"/>
  <c r="AM205"/>
  <c r="AT205"/>
  <c r="AK207"/>
  <c r="AH190"/>
  <c r="AA190"/>
  <c r="AF184"/>
  <c r="AC184"/>
  <c r="AD184"/>
  <c r="AW172"/>
  <c r="AW159"/>
  <c r="AM307"/>
  <c r="AT307"/>
  <c r="AU307"/>
  <c r="AN307"/>
  <c r="AB306"/>
  <c r="AT257"/>
  <c r="AM257"/>
  <c r="AM247"/>
  <c r="AT247"/>
  <c r="AL237"/>
  <c r="AL242"/>
  <c r="AL425"/>
  <c r="AL207"/>
  <c r="AB197"/>
  <c r="W201"/>
  <c r="W202"/>
  <c r="AF192"/>
  <c r="AC192"/>
  <c r="AD192"/>
  <c r="AK194"/>
  <c r="AM187"/>
  <c r="AT187"/>
  <c r="AB331"/>
  <c r="AK267"/>
  <c r="AU251"/>
  <c r="AN251"/>
  <c r="AP235"/>
  <c r="AO235"/>
  <c r="AR221"/>
  <c r="AR223"/>
  <c r="AR224"/>
  <c r="AR424"/>
  <c r="AS221"/>
  <c r="AS223"/>
  <c r="AS224"/>
  <c r="AS424"/>
  <c r="AT199"/>
  <c r="AM199"/>
  <c r="AM201"/>
  <c r="AM193"/>
  <c r="AT193"/>
  <c r="AU190"/>
  <c r="AN190"/>
  <c r="AN194"/>
  <c r="AN170"/>
  <c r="AU170"/>
  <c r="AF167"/>
  <c r="AC167"/>
  <c r="AD167"/>
  <c r="AF151"/>
  <c r="AC151"/>
  <c r="AD151"/>
  <c r="AK320"/>
  <c r="AF214"/>
  <c r="AC214"/>
  <c r="AD214"/>
  <c r="AE178"/>
  <c r="AF178"/>
  <c r="AC178"/>
  <c r="AD178"/>
  <c r="AN147"/>
  <c r="AU147"/>
  <c r="AB146"/>
  <c r="AN142"/>
  <c r="AL152"/>
  <c r="AU142"/>
  <c r="AO139"/>
  <c r="AP139"/>
  <c r="AB139"/>
  <c r="AD138"/>
  <c r="AB137"/>
  <c r="AF134"/>
  <c r="AC134"/>
  <c r="AP122"/>
  <c r="AO122"/>
  <c r="AK126"/>
  <c r="AT115"/>
  <c r="AM115"/>
  <c r="Z113"/>
  <c r="AP90"/>
  <c r="AO90"/>
  <c r="AB90"/>
  <c r="AE85"/>
  <c r="AF85"/>
  <c r="AC85"/>
  <c r="AD85"/>
  <c r="AE81"/>
  <c r="AF81"/>
  <c r="AC81"/>
  <c r="AD81"/>
  <c r="AE77"/>
  <c r="AF77"/>
  <c r="AC77"/>
  <c r="AD77"/>
  <c r="AS56"/>
  <c r="AR56"/>
  <c r="W87"/>
  <c r="AB176"/>
  <c r="AU168"/>
  <c r="AN168"/>
  <c r="AU157"/>
  <c r="AN157"/>
  <c r="AB156"/>
  <c r="AT255"/>
  <c r="AM255"/>
  <c r="AN255"/>
  <c r="AU255"/>
  <c r="AB183"/>
  <c r="AP171"/>
  <c r="AO171"/>
  <c r="AO172"/>
  <c r="P180"/>
  <c r="P413"/>
  <c r="AT149"/>
  <c r="AM149"/>
  <c r="AH152"/>
  <c r="AA143"/>
  <c r="AM137"/>
  <c r="AT137"/>
  <c r="AW140"/>
  <c r="AW160"/>
  <c r="AW421"/>
  <c r="R160"/>
  <c r="AT118"/>
  <c r="AM118"/>
  <c r="AU110"/>
  <c r="AN110"/>
  <c r="AT95"/>
  <c r="AM95"/>
  <c r="AT71"/>
  <c r="AM71"/>
  <c r="AQ51"/>
  <c r="AB51"/>
  <c r="AQ39"/>
  <c r="AB39"/>
  <c r="AU15"/>
  <c r="AN15"/>
  <c r="R245"/>
  <c r="AQ223"/>
  <c r="AL201"/>
  <c r="AP189"/>
  <c r="AO189"/>
  <c r="AU183"/>
  <c r="AU185"/>
  <c r="AL185"/>
  <c r="AN183"/>
  <c r="AN185"/>
  <c r="R179"/>
  <c r="AW174"/>
  <c r="AW179"/>
  <c r="AK174"/>
  <c r="AH174"/>
  <c r="W174"/>
  <c r="AL174"/>
  <c r="AN145"/>
  <c r="AU145"/>
  <c r="AU136"/>
  <c r="AN136"/>
  <c r="AM125"/>
  <c r="AT125"/>
  <c r="AP124"/>
  <c r="AO124"/>
  <c r="AP120"/>
  <c r="AO120"/>
  <c r="AM110"/>
  <c r="AT110"/>
  <c r="AM106"/>
  <c r="AT106"/>
  <c r="AN83"/>
  <c r="AU83"/>
  <c r="AN79"/>
  <c r="AU79"/>
  <c r="AM62"/>
  <c r="AT62"/>
  <c r="AM51"/>
  <c r="AT51"/>
  <c r="A452"/>
  <c r="AN38"/>
  <c r="AU38"/>
  <c r="AN34"/>
  <c r="AN42"/>
  <c r="AN418"/>
  <c r="AL42"/>
  <c r="AL418"/>
  <c r="AU34"/>
  <c r="AX23"/>
  <c r="AE23"/>
  <c r="AF23"/>
  <c r="AC23"/>
  <c r="AD23"/>
  <c r="AM15"/>
  <c r="AT15"/>
  <c r="AB252"/>
  <c r="AB206"/>
  <c r="AN167"/>
  <c r="AN172"/>
  <c r="AU167"/>
  <c r="AU172"/>
  <c r="AT158"/>
  <c r="AT159"/>
  <c r="AM158"/>
  <c r="AM159"/>
  <c r="AN151"/>
  <c r="AU151"/>
  <c r="AU144"/>
  <c r="AN144"/>
  <c r="AM136"/>
  <c r="AT136"/>
  <c r="AB135"/>
  <c r="AH122"/>
  <c r="AA122"/>
  <c r="AF94"/>
  <c r="AC94"/>
  <c r="AD94"/>
  <c r="AB93"/>
  <c r="AB92"/>
  <c r="AG438"/>
  <c r="AG420"/>
  <c r="AN74"/>
  <c r="AU74"/>
  <c r="AE59"/>
  <c r="AF59"/>
  <c r="AC59"/>
  <c r="AD59"/>
  <c r="AT52"/>
  <c r="AM52"/>
  <c r="AH42"/>
  <c r="AH418"/>
  <c r="AA34"/>
  <c r="AT17"/>
  <c r="AT447"/>
  <c r="AM17"/>
  <c r="T439"/>
  <c r="T444"/>
  <c r="AB116"/>
  <c r="AF105"/>
  <c r="AC105"/>
  <c r="AN69"/>
  <c r="AU69"/>
  <c r="AM37"/>
  <c r="AT37"/>
  <c r="AK42"/>
  <c r="AK418"/>
  <c r="AB104"/>
  <c r="AB98"/>
  <c r="AP111"/>
  <c r="AO111"/>
  <c r="AF101"/>
  <c r="AC101"/>
  <c r="AD101"/>
  <c r="AF91"/>
  <c r="AC91"/>
  <c r="AM74"/>
  <c r="AT74"/>
  <c r="AM46"/>
  <c r="AT46"/>
  <c r="AR415"/>
  <c r="AG437"/>
  <c r="AF387" i="21"/>
  <c r="AC387"/>
  <c r="AD387"/>
  <c r="AF212"/>
  <c r="AC212"/>
  <c r="AD212"/>
  <c r="AF107"/>
  <c r="AC107"/>
  <c r="AD107"/>
  <c r="AH107"/>
  <c r="S425"/>
  <c r="S439"/>
  <c r="S413"/>
  <c r="AJ421"/>
  <c r="AF94"/>
  <c r="AC94"/>
  <c r="AD94"/>
  <c r="AF330"/>
  <c r="AH93"/>
  <c r="AF93"/>
  <c r="AC93"/>
  <c r="AD93"/>
  <c r="AA237"/>
  <c r="AA242"/>
  <c r="AQ234"/>
  <c r="AQ237"/>
  <c r="AQ242"/>
  <c r="AQ425"/>
  <c r="AB234"/>
  <c r="AS430"/>
  <c r="AH400"/>
  <c r="AF400"/>
  <c r="AC400"/>
  <c r="AD400"/>
  <c r="AE284"/>
  <c r="AF284"/>
  <c r="AC284"/>
  <c r="AD284"/>
  <c r="AF187"/>
  <c r="AF214"/>
  <c r="AC214"/>
  <c r="AD214"/>
  <c r="G12"/>
  <c r="Z11"/>
  <c r="AB11"/>
  <c r="AD11"/>
  <c r="AF11"/>
  <c r="AD100"/>
  <c r="AH100"/>
  <c r="AP410"/>
  <c r="AO410"/>
  <c r="Z412"/>
  <c r="AB410"/>
  <c r="AO375"/>
  <c r="AP375"/>
  <c r="AP377"/>
  <c r="AB375"/>
  <c r="AH354"/>
  <c r="AS433"/>
  <c r="AS442"/>
  <c r="AH328"/>
  <c r="AA325"/>
  <c r="AD405"/>
  <c r="AM400"/>
  <c r="AT400"/>
  <c r="AT401"/>
  <c r="Z392"/>
  <c r="AN327"/>
  <c r="AU327"/>
  <c r="AD306"/>
  <c r="AH287"/>
  <c r="AA283"/>
  <c r="AP146"/>
  <c r="AB146"/>
  <c r="AO146"/>
  <c r="Z371"/>
  <c r="AP370"/>
  <c r="AP371"/>
  <c r="AO370"/>
  <c r="AO371"/>
  <c r="AL353"/>
  <c r="AW353"/>
  <c r="AT222"/>
  <c r="AM222"/>
  <c r="AT197"/>
  <c r="AM197"/>
  <c r="AM201"/>
  <c r="AF403"/>
  <c r="AF311"/>
  <c r="AC311"/>
  <c r="AD311"/>
  <c r="AT308"/>
  <c r="AM308"/>
  <c r="AU303"/>
  <c r="AN303"/>
  <c r="AE286"/>
  <c r="AF286"/>
  <c r="AC286"/>
  <c r="AD286"/>
  <c r="AO251"/>
  <c r="AP251"/>
  <c r="AT229"/>
  <c r="AU177"/>
  <c r="AN177"/>
  <c r="AL179"/>
  <c r="AN139"/>
  <c r="AU139"/>
  <c r="AF119"/>
  <c r="AC119"/>
  <c r="AD119"/>
  <c r="AD310"/>
  <c r="AF310"/>
  <c r="AC310"/>
  <c r="AO147"/>
  <c r="AP147"/>
  <c r="AN110"/>
  <c r="AU110"/>
  <c r="AU257"/>
  <c r="AN257"/>
  <c r="AM234"/>
  <c r="AT234"/>
  <c r="AM231"/>
  <c r="AM214"/>
  <c r="AT214"/>
  <c r="AU188"/>
  <c r="AN188"/>
  <c r="AM347"/>
  <c r="AM348"/>
  <c r="AM429"/>
  <c r="AT347"/>
  <c r="AT348"/>
  <c r="AT429"/>
  <c r="AK348"/>
  <c r="AK429"/>
  <c r="AU272"/>
  <c r="AN272"/>
  <c r="AK267"/>
  <c r="AT260"/>
  <c r="AM260"/>
  <c r="AF248"/>
  <c r="AC248"/>
  <c r="AH248"/>
  <c r="AD248"/>
  <c r="AR240"/>
  <c r="AR241"/>
  <c r="AR242"/>
  <c r="AR425"/>
  <c r="AS240"/>
  <c r="AE199"/>
  <c r="AF199"/>
  <c r="AC199"/>
  <c r="AD199"/>
  <c r="AL185"/>
  <c r="AN183"/>
  <c r="AU183"/>
  <c r="AK185"/>
  <c r="AM183"/>
  <c r="AM185"/>
  <c r="AT183"/>
  <c r="AI421"/>
  <c r="AU124"/>
  <c r="AN124"/>
  <c r="AP121"/>
  <c r="AO121"/>
  <c r="AT72"/>
  <c r="AM72"/>
  <c r="AT37"/>
  <c r="AM37"/>
  <c r="AU317"/>
  <c r="AN317"/>
  <c r="AO312"/>
  <c r="AP312"/>
  <c r="AO252"/>
  <c r="AP252"/>
  <c r="AF188"/>
  <c r="AC188"/>
  <c r="AD188"/>
  <c r="AA154"/>
  <c r="AH159"/>
  <c r="AU145"/>
  <c r="AN145"/>
  <c r="AN22"/>
  <c r="AU22"/>
  <c r="AM157"/>
  <c r="AT157"/>
  <c r="AD148"/>
  <c r="AH138"/>
  <c r="AF138"/>
  <c r="AC138"/>
  <c r="AD138"/>
  <c r="AM106"/>
  <c r="AT106"/>
  <c r="AU103"/>
  <c r="AN103"/>
  <c r="AO98"/>
  <c r="AP98"/>
  <c r="AT97"/>
  <c r="AM97"/>
  <c r="AM93"/>
  <c r="AT93"/>
  <c r="AM47"/>
  <c r="AT47"/>
  <c r="AN94"/>
  <c r="AU94"/>
  <c r="AM84"/>
  <c r="AT84"/>
  <c r="AE49"/>
  <c r="AF49"/>
  <c r="AC49"/>
  <c r="AD49"/>
  <c r="AP247"/>
  <c r="AO247"/>
  <c r="AM132"/>
  <c r="AT132"/>
  <c r="AN70"/>
  <c r="AU70"/>
  <c r="AE51"/>
  <c r="AF51"/>
  <c r="AC51"/>
  <c r="AD51"/>
  <c r="AM50"/>
  <c r="AT50"/>
  <c r="AE31"/>
  <c r="AF31"/>
  <c r="AC31"/>
  <c r="AD31"/>
  <c r="AN163"/>
  <c r="AN164"/>
  <c r="AU163"/>
  <c r="AU164"/>
  <c r="AL164"/>
  <c r="AK159"/>
  <c r="AM136"/>
  <c r="AT136"/>
  <c r="AN135"/>
  <c r="AU135"/>
  <c r="AN53"/>
  <c r="AU53"/>
  <c r="AJ438"/>
  <c r="AJ420"/>
  <c r="AG420"/>
  <c r="AG438"/>
  <c r="AG443"/>
  <c r="AG434"/>
  <c r="AF390"/>
  <c r="AC390"/>
  <c r="AD390"/>
  <c r="AM384"/>
  <c r="AT384"/>
  <c r="AK392"/>
  <c r="AW412"/>
  <c r="AR394"/>
  <c r="AR395"/>
  <c r="AR396"/>
  <c r="AR432"/>
  <c r="AS394"/>
  <c r="AS395"/>
  <c r="AS396"/>
  <c r="AS432"/>
  <c r="W395"/>
  <c r="W396"/>
  <c r="AP399"/>
  <c r="AO399"/>
  <c r="AO401"/>
  <c r="Z401"/>
  <c r="AB399"/>
  <c r="AU354"/>
  <c r="AN354"/>
  <c r="AT279"/>
  <c r="AT281"/>
  <c r="AM279"/>
  <c r="AN376"/>
  <c r="AU376"/>
  <c r="AP333"/>
  <c r="AO333"/>
  <c r="AE340"/>
  <c r="AF340"/>
  <c r="AC340"/>
  <c r="AD340"/>
  <c r="AT316"/>
  <c r="AT320"/>
  <c r="AM316"/>
  <c r="AN306"/>
  <c r="AU306"/>
  <c r="AW287"/>
  <c r="AL223"/>
  <c r="AU218"/>
  <c r="AN218"/>
  <c r="R378"/>
  <c r="AF335"/>
  <c r="AC335"/>
  <c r="AD335"/>
  <c r="AE156"/>
  <c r="AF156"/>
  <c r="AC156"/>
  <c r="AD156"/>
  <c r="AH292"/>
  <c r="AF292"/>
  <c r="AC292"/>
  <c r="AD292"/>
  <c r="AM233"/>
  <c r="AT233"/>
  <c r="AM232"/>
  <c r="AT232"/>
  <c r="AU221"/>
  <c r="AN221"/>
  <c r="AA196"/>
  <c r="AH201"/>
  <c r="AL194"/>
  <c r="AU175"/>
  <c r="AN175"/>
  <c r="AN179"/>
  <c r="AS158"/>
  <c r="AR158"/>
  <c r="AB158"/>
  <c r="AM151"/>
  <c r="AT151"/>
  <c r="AH139"/>
  <c r="AF122"/>
  <c r="AC122"/>
  <c r="AD122"/>
  <c r="AF118"/>
  <c r="AC118"/>
  <c r="AD118"/>
  <c r="AD101"/>
  <c r="AH101"/>
  <c r="AE39"/>
  <c r="AF39"/>
  <c r="AC39"/>
  <c r="AD39"/>
  <c r="AX39"/>
  <c r="BA39"/>
  <c r="AP332"/>
  <c r="AO332"/>
  <c r="AO191"/>
  <c r="AP191"/>
  <c r="AS154"/>
  <c r="AR154"/>
  <c r="W159"/>
  <c r="W160"/>
  <c r="AN102"/>
  <c r="AU102"/>
  <c r="AN35"/>
  <c r="AU35"/>
  <c r="AP374"/>
  <c r="AO374"/>
  <c r="AN232"/>
  <c r="AU232"/>
  <c r="AM192"/>
  <c r="AT192"/>
  <c r="AU385"/>
  <c r="AN385"/>
  <c r="AP347"/>
  <c r="AP348"/>
  <c r="AP429"/>
  <c r="AO347"/>
  <c r="AO348"/>
  <c r="AO429"/>
  <c r="Z348"/>
  <c r="Z349"/>
  <c r="AH347"/>
  <c r="AH348"/>
  <c r="AH429"/>
  <c r="AD294"/>
  <c r="AH294"/>
  <c r="AE277"/>
  <c r="AF277"/>
  <c r="AC277"/>
  <c r="AD277"/>
  <c r="AO248"/>
  <c r="AP248"/>
  <c r="AH184"/>
  <c r="AD184"/>
  <c r="AF168"/>
  <c r="AC168"/>
  <c r="AD168"/>
  <c r="AF139"/>
  <c r="AC139"/>
  <c r="AD139"/>
  <c r="AT59"/>
  <c r="AM59"/>
  <c r="AF326"/>
  <c r="AC326"/>
  <c r="AD326"/>
  <c r="AU305"/>
  <c r="AN305"/>
  <c r="AH332"/>
  <c r="AR157"/>
  <c r="AS157"/>
  <c r="AH106"/>
  <c r="AB98"/>
  <c r="AH92"/>
  <c r="AU91"/>
  <c r="AN91"/>
  <c r="AH415"/>
  <c r="AH257"/>
  <c r="AF257"/>
  <c r="AC257"/>
  <c r="AD257"/>
  <c r="AB81"/>
  <c r="AT247"/>
  <c r="AM247"/>
  <c r="AN117"/>
  <c r="AU117"/>
  <c r="AU80"/>
  <c r="AN80"/>
  <c r="AP163"/>
  <c r="AP164"/>
  <c r="Z164"/>
  <c r="AO163"/>
  <c r="AO164"/>
  <c r="AU137"/>
  <c r="AN137"/>
  <c r="AU136"/>
  <c r="AN136"/>
  <c r="AE127"/>
  <c r="AT53"/>
  <c r="AM53"/>
  <c r="AE82"/>
  <c r="AF82"/>
  <c r="AC82"/>
  <c r="AD82"/>
  <c r="AH410"/>
  <c r="AM386"/>
  <c r="AT386"/>
  <c r="AU409"/>
  <c r="AL412"/>
  <c r="AN409"/>
  <c r="AL395"/>
  <c r="AN394"/>
  <c r="AN395"/>
  <c r="AU394"/>
  <c r="AU395"/>
  <c r="AO377"/>
  <c r="AS319"/>
  <c r="AR319"/>
  <c r="AB319"/>
  <c r="AL320"/>
  <c r="AN315"/>
  <c r="AU315"/>
  <c r="AR276"/>
  <c r="AS276"/>
  <c r="AS281"/>
  <c r="AT271"/>
  <c r="AM271"/>
  <c r="AN391"/>
  <c r="AU391"/>
  <c r="AP376"/>
  <c r="AO376"/>
  <c r="AB376"/>
  <c r="AU333"/>
  <c r="AN333"/>
  <c r="AH313"/>
  <c r="AU279"/>
  <c r="AN279"/>
  <c r="AN281"/>
  <c r="AT405"/>
  <c r="AM405"/>
  <c r="AN388"/>
  <c r="AU388"/>
  <c r="Z381"/>
  <c r="R382"/>
  <c r="R396"/>
  <c r="AK381"/>
  <c r="AL381"/>
  <c r="AB381"/>
  <c r="AW381"/>
  <c r="AT342"/>
  <c r="AM342"/>
  <c r="AM339"/>
  <c r="AT339"/>
  <c r="AK343"/>
  <c r="AK344"/>
  <c r="AT338"/>
  <c r="AM338"/>
  <c r="AW343"/>
  <c r="AK320"/>
  <c r="AU302"/>
  <c r="AN302"/>
  <c r="Z291"/>
  <c r="R299"/>
  <c r="AW291"/>
  <c r="AL291"/>
  <c r="AK291"/>
  <c r="AR285"/>
  <c r="AS285"/>
  <c r="AK287"/>
  <c r="AT283"/>
  <c r="AM283"/>
  <c r="AF263"/>
  <c r="AC263"/>
  <c r="AD263"/>
  <c r="AL245"/>
  <c r="R258"/>
  <c r="R288"/>
  <c r="AK245"/>
  <c r="AW245"/>
  <c r="Z245"/>
  <c r="AB245"/>
  <c r="AH223"/>
  <c r="AA218"/>
  <c r="AS155"/>
  <c r="AB155"/>
  <c r="AR155"/>
  <c r="AM401"/>
  <c r="AM370"/>
  <c r="AM371"/>
  <c r="AM378"/>
  <c r="AM431"/>
  <c r="AK371"/>
  <c r="AT370"/>
  <c r="AT371"/>
  <c r="AI441"/>
  <c r="AD307"/>
  <c r="AM307"/>
  <c r="AT307"/>
  <c r="AW241"/>
  <c r="AU228"/>
  <c r="AN228"/>
  <c r="AE219"/>
  <c r="AF219"/>
  <c r="AC219"/>
  <c r="AD219"/>
  <c r="AE174"/>
  <c r="AT155"/>
  <c r="AT159"/>
  <c r="AM155"/>
  <c r="Z406"/>
  <c r="AP403"/>
  <c r="AO403"/>
  <c r="AA331"/>
  <c r="AL336"/>
  <c r="AN330"/>
  <c r="AN336"/>
  <c r="AU330"/>
  <c r="AJ428"/>
  <c r="AJ349"/>
  <c r="AJ440"/>
  <c r="AM309"/>
  <c r="AT309"/>
  <c r="AN308"/>
  <c r="AU308"/>
  <c r="AP303"/>
  <c r="AO303"/>
  <c r="AL281"/>
  <c r="AH233"/>
  <c r="AH237"/>
  <c r="AP233"/>
  <c r="AO233"/>
  <c r="AM213"/>
  <c r="AT213"/>
  <c r="AS196"/>
  <c r="AB196"/>
  <c r="W201"/>
  <c r="W202"/>
  <c r="AR196"/>
  <c r="AF190"/>
  <c r="AC190"/>
  <c r="AD190"/>
  <c r="AQ179"/>
  <c r="AQ180"/>
  <c r="AQ422"/>
  <c r="AH172"/>
  <c r="AU158"/>
  <c r="AN158"/>
  <c r="AO151"/>
  <c r="AP151"/>
  <c r="AB121"/>
  <c r="AL126"/>
  <c r="AN115"/>
  <c r="AU115"/>
  <c r="AF110"/>
  <c r="AC110"/>
  <c r="AD110"/>
  <c r="AB72"/>
  <c r="AQ72"/>
  <c r="AE35"/>
  <c r="AF35"/>
  <c r="AC35"/>
  <c r="AD35"/>
  <c r="T413"/>
  <c r="AF360"/>
  <c r="AC360"/>
  <c r="AD360"/>
  <c r="AU332"/>
  <c r="AN332"/>
  <c r="AP295"/>
  <c r="AO295"/>
  <c r="AN266"/>
  <c r="AU266"/>
  <c r="AM263"/>
  <c r="AT263"/>
  <c r="AM215"/>
  <c r="AT215"/>
  <c r="AM211"/>
  <c r="AT211"/>
  <c r="AO210"/>
  <c r="AP210"/>
  <c r="AU154"/>
  <c r="AL159"/>
  <c r="AN154"/>
  <c r="AB147"/>
  <c r="AN121"/>
  <c r="AU121"/>
  <c r="AN101"/>
  <c r="AU101"/>
  <c r="AN26"/>
  <c r="AU26"/>
  <c r="AO404"/>
  <c r="AP404"/>
  <c r="AM404"/>
  <c r="AT404"/>
  <c r="AN374"/>
  <c r="AU374"/>
  <c r="AT312"/>
  <c r="AM312"/>
  <c r="AF309"/>
  <c r="AC309"/>
  <c r="AD309"/>
  <c r="AF304"/>
  <c r="AC304"/>
  <c r="AD304"/>
  <c r="AP257"/>
  <c r="AO257"/>
  <c r="AU234"/>
  <c r="AN234"/>
  <c r="AO232"/>
  <c r="AP232"/>
  <c r="AN193"/>
  <c r="AU193"/>
  <c r="AN192"/>
  <c r="AU192"/>
  <c r="AN191"/>
  <c r="AU191"/>
  <c r="AM188"/>
  <c r="AT188"/>
  <c r="AH179"/>
  <c r="AO385"/>
  <c r="AP385"/>
  <c r="AB385"/>
  <c r="AB347"/>
  <c r="AF306"/>
  <c r="AC306"/>
  <c r="AF264"/>
  <c r="AC264"/>
  <c r="AD264"/>
  <c r="AI288"/>
  <c r="AI426"/>
  <c r="AB185"/>
  <c r="AH183"/>
  <c r="AT176"/>
  <c r="AM176"/>
  <c r="AU171"/>
  <c r="AN171"/>
  <c r="AP166"/>
  <c r="AP172"/>
  <c r="AB166"/>
  <c r="AO166"/>
  <c r="Z172"/>
  <c r="AB154"/>
  <c r="AF143"/>
  <c r="AC143"/>
  <c r="AD143"/>
  <c r="AL152"/>
  <c r="AU142"/>
  <c r="AN142"/>
  <c r="AT133"/>
  <c r="AM133"/>
  <c r="AP123"/>
  <c r="AO123"/>
  <c r="AP119"/>
  <c r="AO119"/>
  <c r="AT115"/>
  <c r="AK126"/>
  <c r="AM115"/>
  <c r="AP102"/>
  <c r="AO102"/>
  <c r="AU95"/>
  <c r="AN95"/>
  <c r="AT74"/>
  <c r="AM74"/>
  <c r="AS71"/>
  <c r="AR71"/>
  <c r="AB71"/>
  <c r="AT58"/>
  <c r="AM58"/>
  <c r="AH32"/>
  <c r="AH417"/>
  <c r="AA29"/>
  <c r="AV413"/>
  <c r="AM240"/>
  <c r="AM241"/>
  <c r="AT240"/>
  <c r="AT241"/>
  <c r="AR220"/>
  <c r="AS220"/>
  <c r="AF171"/>
  <c r="AC171"/>
  <c r="AD171"/>
  <c r="AN123"/>
  <c r="AU123"/>
  <c r="AN62"/>
  <c r="AU62"/>
  <c r="AH210"/>
  <c r="AK179"/>
  <c r="AN157"/>
  <c r="AU157"/>
  <c r="AP148"/>
  <c r="AO148"/>
  <c r="AU148"/>
  <c r="AN148"/>
  <c r="AH105"/>
  <c r="AT104"/>
  <c r="AM104"/>
  <c r="AO103"/>
  <c r="AP103"/>
  <c r="AB103"/>
  <c r="AT92"/>
  <c r="AM92"/>
  <c r="AM91"/>
  <c r="AT91"/>
  <c r="AK113"/>
  <c r="Z113"/>
  <c r="Z127"/>
  <c r="AP90"/>
  <c r="AO90"/>
  <c r="AW113"/>
  <c r="AE64"/>
  <c r="AF64"/>
  <c r="AC64"/>
  <c r="AD64"/>
  <c r="AN61"/>
  <c r="AU61"/>
  <c r="AM54"/>
  <c r="AT54"/>
  <c r="AX47"/>
  <c r="BA47"/>
  <c r="AE47"/>
  <c r="AF47"/>
  <c r="AC47"/>
  <c r="AD47"/>
  <c r="AO17"/>
  <c r="AP17"/>
  <c r="T438"/>
  <c r="T420"/>
  <c r="T435"/>
  <c r="AO111"/>
  <c r="AP111"/>
  <c r="AU52"/>
  <c r="AN52"/>
  <c r="AW42"/>
  <c r="AW418"/>
  <c r="AM253"/>
  <c r="AT253"/>
  <c r="AO134"/>
  <c r="AP134"/>
  <c r="AF99"/>
  <c r="AC99"/>
  <c r="AD99"/>
  <c r="AB84"/>
  <c r="AM79"/>
  <c r="AT79"/>
  <c r="AB76"/>
  <c r="AN49"/>
  <c r="AU49"/>
  <c r="AN247"/>
  <c r="AU247"/>
  <c r="R140"/>
  <c r="R160"/>
  <c r="AW131"/>
  <c r="AY131"/>
  <c r="Z131"/>
  <c r="AB131"/>
  <c r="AL131"/>
  <c r="AK131"/>
  <c r="AD125"/>
  <c r="AP117"/>
  <c r="AO117"/>
  <c r="AU85"/>
  <c r="AN85"/>
  <c r="AU78"/>
  <c r="AN78"/>
  <c r="AE56"/>
  <c r="AF56"/>
  <c r="AC56"/>
  <c r="AD56"/>
  <c r="AE50"/>
  <c r="AF50"/>
  <c r="AC50"/>
  <c r="AD50"/>
  <c r="AM31"/>
  <c r="AM32"/>
  <c r="AM417"/>
  <c r="AT31"/>
  <c r="AT32"/>
  <c r="AT417"/>
  <c r="AQ415"/>
  <c r="R180"/>
  <c r="AB163"/>
  <c r="AM137"/>
  <c r="AT137"/>
  <c r="AO136"/>
  <c r="AP136"/>
  <c r="AM61"/>
  <c r="AT61"/>
  <c r="AE53"/>
  <c r="AF53"/>
  <c r="AC53"/>
  <c r="AD53"/>
  <c r="AB17"/>
  <c r="AF105"/>
  <c r="AC105"/>
  <c r="AD105"/>
  <c r="AB83"/>
  <c r="AM80"/>
  <c r="AT80"/>
  <c r="AX24"/>
  <c r="BA24"/>
  <c r="AE24"/>
  <c r="AF24"/>
  <c r="AC24"/>
  <c r="AD24"/>
  <c r="AE59"/>
  <c r="AF59"/>
  <c r="AC59"/>
  <c r="AD59"/>
  <c r="AE74"/>
  <c r="AF74"/>
  <c r="AC74"/>
  <c r="AD74"/>
  <c r="AA394"/>
  <c r="AB394"/>
  <c r="AH395"/>
  <c r="AU386"/>
  <c r="AN386"/>
  <c r="AK412"/>
  <c r="AM409"/>
  <c r="AT409"/>
  <c r="AT394"/>
  <c r="AT395"/>
  <c r="AK395"/>
  <c r="AM394"/>
  <c r="AM395"/>
  <c r="AO387"/>
  <c r="AP387"/>
  <c r="AU269"/>
  <c r="AL273"/>
  <c r="AN269"/>
  <c r="AN340"/>
  <c r="AU340"/>
  <c r="AN338"/>
  <c r="AU338"/>
  <c r="AL343"/>
  <c r="AV428"/>
  <c r="AV435"/>
  <c r="AV349"/>
  <c r="AV440"/>
  <c r="AI428"/>
  <c r="AI349"/>
  <c r="AI440"/>
  <c r="AE316"/>
  <c r="AF316"/>
  <c r="AC316"/>
  <c r="AD316"/>
  <c r="AE285"/>
  <c r="AF285"/>
  <c r="AC285"/>
  <c r="AD285"/>
  <c r="AS222"/>
  <c r="AR222"/>
  <c r="AB222"/>
  <c r="AS197"/>
  <c r="AR197"/>
  <c r="AB197"/>
  <c r="AU370"/>
  <c r="AU371"/>
  <c r="AN370"/>
  <c r="AN371"/>
  <c r="AL371"/>
  <c r="AF354"/>
  <c r="AC354"/>
  <c r="AD354"/>
  <c r="AN325"/>
  <c r="AL328"/>
  <c r="AU325"/>
  <c r="AA281"/>
  <c r="AB275"/>
  <c r="AQ275"/>
  <c r="AQ281"/>
  <c r="AU236"/>
  <c r="AN236"/>
  <c r="AT218"/>
  <c r="AM218"/>
  <c r="AK223"/>
  <c r="AT189"/>
  <c r="AM189"/>
  <c r="AG433"/>
  <c r="AG442"/>
  <c r="Z336"/>
  <c r="AP330"/>
  <c r="AO330"/>
  <c r="AA269"/>
  <c r="AH273"/>
  <c r="AS221"/>
  <c r="AB221"/>
  <c r="AR221"/>
  <c r="AD213"/>
  <c r="AS175"/>
  <c r="AS179"/>
  <c r="AS180"/>
  <c r="AS422"/>
  <c r="W179"/>
  <c r="W180"/>
  <c r="AB175"/>
  <c r="AR175"/>
  <c r="AR179"/>
  <c r="AR180"/>
  <c r="AR422"/>
  <c r="AF123"/>
  <c r="AC123"/>
  <c r="AD123"/>
  <c r="AH102"/>
  <c r="AE62"/>
  <c r="AF62"/>
  <c r="AC62"/>
  <c r="AD62"/>
  <c r="AE22"/>
  <c r="AF22"/>
  <c r="AC22"/>
  <c r="AD22"/>
  <c r="AX22"/>
  <c r="AM332"/>
  <c r="AT332"/>
  <c r="AF295"/>
  <c r="AC295"/>
  <c r="AD295"/>
  <c r="AT266"/>
  <c r="AM266"/>
  <c r="AF211"/>
  <c r="AC211"/>
  <c r="AD211"/>
  <c r="AU200"/>
  <c r="AN200"/>
  <c r="AM145"/>
  <c r="AT145"/>
  <c r="AN39"/>
  <c r="AU39"/>
  <c r="AT374"/>
  <c r="AT377"/>
  <c r="AM374"/>
  <c r="AM377"/>
  <c r="AK377"/>
  <c r="AN312"/>
  <c r="AU312"/>
  <c r="AD252"/>
  <c r="AH252"/>
  <c r="AH246"/>
  <c r="AD246"/>
  <c r="AE220"/>
  <c r="AF220"/>
  <c r="AC220"/>
  <c r="AD220"/>
  <c r="AQ405"/>
  <c r="AQ406"/>
  <c r="AQ407"/>
  <c r="AA406"/>
  <c r="AA407"/>
  <c r="AW392"/>
  <c r="AN294"/>
  <c r="AU294"/>
  <c r="AP272"/>
  <c r="AO272"/>
  <c r="AS241"/>
  <c r="AS242"/>
  <c r="AS425"/>
  <c r="AH212"/>
  <c r="AO212"/>
  <c r="AP212"/>
  <c r="AN184"/>
  <c r="AU184"/>
  <c r="AE176"/>
  <c r="AF176"/>
  <c r="AC176"/>
  <c r="AD176"/>
  <c r="AU166"/>
  <c r="AN166"/>
  <c r="AL172"/>
  <c r="AE69"/>
  <c r="AF69"/>
  <c r="AC69"/>
  <c r="AD69"/>
  <c r="W87"/>
  <c r="AS56"/>
  <c r="AR56"/>
  <c r="AD30"/>
  <c r="AT317"/>
  <c r="AM317"/>
  <c r="AF305"/>
  <c r="AC305"/>
  <c r="AD305"/>
  <c r="AH293"/>
  <c r="AD293"/>
  <c r="AF293"/>
  <c r="AC293"/>
  <c r="AM210"/>
  <c r="AT210"/>
  <c r="AN119"/>
  <c r="AU119"/>
  <c r="AU134"/>
  <c r="AN134"/>
  <c r="AH104"/>
  <c r="AD104"/>
  <c r="AP100"/>
  <c r="AO100"/>
  <c r="AA113"/>
  <c r="AQ94"/>
  <c r="AQ113"/>
  <c r="AN92"/>
  <c r="AU92"/>
  <c r="AN90"/>
  <c r="AU90"/>
  <c r="AL113"/>
  <c r="AE54"/>
  <c r="AF54"/>
  <c r="AC54"/>
  <c r="AD54"/>
  <c r="AU111"/>
  <c r="AN111"/>
  <c r="AE79"/>
  <c r="AF79"/>
  <c r="AC79"/>
  <c r="AD79"/>
  <c r="AM76"/>
  <c r="AT76"/>
  <c r="AM15"/>
  <c r="AT15"/>
  <c r="AH137"/>
  <c r="AF137"/>
  <c r="AC137"/>
  <c r="AD137"/>
  <c r="S438"/>
  <c r="S420"/>
  <c r="S435"/>
  <c r="AN82"/>
  <c r="AU82"/>
  <c r="AX61"/>
  <c r="BA61"/>
  <c r="AE61"/>
  <c r="AF61"/>
  <c r="AC61"/>
  <c r="AD61"/>
  <c r="AM83"/>
  <c r="AT83"/>
  <c r="AA42"/>
  <c r="AQ34"/>
  <c r="AQ42"/>
  <c r="AQ418"/>
  <c r="AX37"/>
  <c r="BA37"/>
  <c r="AE37"/>
  <c r="AF37"/>
  <c r="AC37"/>
  <c r="AD37"/>
  <c r="AD386"/>
  <c r="W320"/>
  <c r="W321"/>
  <c r="AS315"/>
  <c r="AR315"/>
  <c r="AD271"/>
  <c r="AO391"/>
  <c r="AP391"/>
  <c r="AN373"/>
  <c r="AU373"/>
  <c r="AL377"/>
  <c r="AG428"/>
  <c r="AG349"/>
  <c r="AG440"/>
  <c r="AS279"/>
  <c r="AR279"/>
  <c r="AB279"/>
  <c r="AP405"/>
  <c r="AO405"/>
  <c r="AP400"/>
  <c r="AO400"/>
  <c r="AT388"/>
  <c r="AM388"/>
  <c r="AR342"/>
  <c r="AS342"/>
  <c r="AB339"/>
  <c r="AU339"/>
  <c r="AN339"/>
  <c r="AM331"/>
  <c r="AT331"/>
  <c r="W287"/>
  <c r="AR283"/>
  <c r="AS283"/>
  <c r="AQ189"/>
  <c r="AB189"/>
  <c r="AP144"/>
  <c r="AO144"/>
  <c r="AB144"/>
  <c r="AK401"/>
  <c r="AB370"/>
  <c r="AF327"/>
  <c r="AC327"/>
  <c r="AD327"/>
  <c r="AU235"/>
  <c r="AN235"/>
  <c r="AT206"/>
  <c r="AM206"/>
  <c r="AN403"/>
  <c r="AU403"/>
  <c r="AL406"/>
  <c r="AF334"/>
  <c r="AC334"/>
  <c r="AD334"/>
  <c r="AM305"/>
  <c r="AT305"/>
  <c r="AS284"/>
  <c r="AR284"/>
  <c r="AU248"/>
  <c r="AN248"/>
  <c r="Z194"/>
  <c r="Z202"/>
  <c r="AO187"/>
  <c r="AH187"/>
  <c r="AH194"/>
  <c r="AP187"/>
  <c r="Z152"/>
  <c r="A449"/>
  <c r="AS57"/>
  <c r="AR57"/>
  <c r="AA392"/>
  <c r="AQ390"/>
  <c r="AQ392"/>
  <c r="AM295"/>
  <c r="AT295"/>
  <c r="AP263"/>
  <c r="AO263"/>
  <c r="AC183"/>
  <c r="AC185"/>
  <c r="AF185"/>
  <c r="AN122"/>
  <c r="AU122"/>
  <c r="AL87"/>
  <c r="AL419"/>
  <c r="AN44"/>
  <c r="AU44"/>
  <c r="AU404"/>
  <c r="AN404"/>
  <c r="AH377"/>
  <c r="AA373"/>
  <c r="AB312"/>
  <c r="AK281"/>
  <c r="AC260"/>
  <c r="AU246"/>
  <c r="AN246"/>
  <c r="AP234"/>
  <c r="AO234"/>
  <c r="AL237"/>
  <c r="AN231"/>
  <c r="AU231"/>
  <c r="AP214"/>
  <c r="AO214"/>
  <c r="AM193"/>
  <c r="AT193"/>
  <c r="AT191"/>
  <c r="AM191"/>
  <c r="AG441"/>
  <c r="AG430"/>
  <c r="P321"/>
  <c r="AT272"/>
  <c r="AM272"/>
  <c r="AM273"/>
  <c r="AW267"/>
  <c r="AE200"/>
  <c r="AF200"/>
  <c r="AC200"/>
  <c r="AD200"/>
  <c r="AE178"/>
  <c r="AF178"/>
  <c r="AC178"/>
  <c r="AD178"/>
  <c r="AT171"/>
  <c r="AM171"/>
  <c r="AK152"/>
  <c r="AT142"/>
  <c r="AM142"/>
  <c r="AP124"/>
  <c r="AO124"/>
  <c r="AP120"/>
  <c r="AO120"/>
  <c r="AT105"/>
  <c r="AM105"/>
  <c r="AU96"/>
  <c r="AN96"/>
  <c r="AU71"/>
  <c r="AN71"/>
  <c r="AT46"/>
  <c r="AM46"/>
  <c r="AK336"/>
  <c r="AB317"/>
  <c r="AK209"/>
  <c r="R216"/>
  <c r="AW209"/>
  <c r="Z209"/>
  <c r="AB209"/>
  <c r="AL209"/>
  <c r="AM63"/>
  <c r="AT63"/>
  <c r="AT148"/>
  <c r="AM148"/>
  <c r="AM103"/>
  <c r="AT103"/>
  <c r="AD97"/>
  <c r="AO93"/>
  <c r="AP93"/>
  <c r="AI438"/>
  <c r="AI420"/>
  <c r="AF90"/>
  <c r="AH90"/>
  <c r="AN34"/>
  <c r="AL42"/>
  <c r="AL418"/>
  <c r="AU34"/>
  <c r="AM25"/>
  <c r="AT25"/>
  <c r="AM111"/>
  <c r="AT111"/>
  <c r="AF92"/>
  <c r="AC92"/>
  <c r="AD92"/>
  <c r="AB34"/>
  <c r="AF253"/>
  <c r="AC253"/>
  <c r="AD253"/>
  <c r="AH253"/>
  <c r="AM134"/>
  <c r="AT134"/>
  <c r="AM86"/>
  <c r="AT86"/>
  <c r="AM77"/>
  <c r="AT77"/>
  <c r="AM38"/>
  <c r="AT38"/>
  <c r="AH136"/>
  <c r="AF136"/>
  <c r="AC136"/>
  <c r="AD136"/>
  <c r="AP132"/>
  <c r="AO132"/>
  <c r="AB132"/>
  <c r="AE70"/>
  <c r="AF70"/>
  <c r="AC70"/>
  <c r="AD70"/>
  <c r="AE36"/>
  <c r="AF36"/>
  <c r="AC36"/>
  <c r="AD36"/>
  <c r="AX36"/>
  <c r="BA36"/>
  <c r="AE18"/>
  <c r="AF18"/>
  <c r="AC18"/>
  <c r="AD18"/>
  <c r="AX18"/>
  <c r="AF135"/>
  <c r="AC135"/>
  <c r="AD135"/>
  <c r="AH135"/>
  <c r="AF106"/>
  <c r="AC106"/>
  <c r="AD106"/>
  <c r="AF102"/>
  <c r="AC102"/>
  <c r="AD102"/>
  <c r="AU17"/>
  <c r="AU447"/>
  <c r="AN17"/>
  <c r="AM85"/>
  <c r="AT85"/>
  <c r="AM78"/>
  <c r="AT78"/>
  <c r="R363"/>
  <c r="AL357"/>
  <c r="AB357"/>
  <c r="AK357"/>
  <c r="AW357"/>
  <c r="Z357"/>
  <c r="AJ442"/>
  <c r="AJ433"/>
  <c r="AF388"/>
  <c r="AC388"/>
  <c r="AD388"/>
  <c r="R407"/>
  <c r="AT354"/>
  <c r="AM354"/>
  <c r="AE443"/>
  <c r="AE434"/>
  <c r="AM410"/>
  <c r="AT410"/>
  <c r="AA409"/>
  <c r="AH412"/>
  <c r="AN384"/>
  <c r="AL392"/>
  <c r="AU384"/>
  <c r="AU399"/>
  <c r="AL401"/>
  <c r="AL407"/>
  <c r="AN399"/>
  <c r="AU387"/>
  <c r="AN387"/>
  <c r="AM387"/>
  <c r="AT387"/>
  <c r="AN375"/>
  <c r="AU375"/>
  <c r="Z377"/>
  <c r="AT333"/>
  <c r="AM333"/>
  <c r="AM336"/>
  <c r="AN319"/>
  <c r="AU319"/>
  <c r="AW301"/>
  <c r="AL301"/>
  <c r="AB301"/>
  <c r="R313"/>
  <c r="Z301"/>
  <c r="AK301"/>
  <c r="AU271"/>
  <c r="AN271"/>
  <c r="AO270"/>
  <c r="AP270"/>
  <c r="AB270"/>
  <c r="AB391"/>
  <c r="AW377"/>
  <c r="S428"/>
  <c r="S349"/>
  <c r="S440"/>
  <c r="AB276"/>
  <c r="W281"/>
  <c r="W288"/>
  <c r="AN405"/>
  <c r="AU405"/>
  <c r="AU400"/>
  <c r="AN400"/>
  <c r="AJ430"/>
  <c r="AJ441"/>
  <c r="AB342"/>
  <c r="AR340"/>
  <c r="AS340"/>
  <c r="AS343"/>
  <c r="AS344"/>
  <c r="AH343"/>
  <c r="AA338"/>
  <c r="AU331"/>
  <c r="AN331"/>
  <c r="AT327"/>
  <c r="AM327"/>
  <c r="AM328"/>
  <c r="AN316"/>
  <c r="AU316"/>
  <c r="AU304"/>
  <c r="AN304"/>
  <c r="AT285"/>
  <c r="AM285"/>
  <c r="AU285"/>
  <c r="AU287"/>
  <c r="AN285"/>
  <c r="AN287"/>
  <c r="AN265"/>
  <c r="AU265"/>
  <c r="AD256"/>
  <c r="AH256"/>
  <c r="Z229"/>
  <c r="AP227"/>
  <c r="AB227"/>
  <c r="AO227"/>
  <c r="AO229"/>
  <c r="AL205"/>
  <c r="AK205"/>
  <c r="Z205"/>
  <c r="AB205"/>
  <c r="AW205"/>
  <c r="R207"/>
  <c r="R224"/>
  <c r="AB150"/>
  <c r="AP150"/>
  <c r="AO150"/>
  <c r="P367"/>
  <c r="AH333"/>
  <c r="AA333"/>
  <c r="AQ333"/>
  <c r="AP325"/>
  <c r="AP328"/>
  <c r="Z328"/>
  <c r="AO325"/>
  <c r="AO328"/>
  <c r="AU307"/>
  <c r="AN307"/>
  <c r="AN264"/>
  <c r="AU264"/>
  <c r="AD262"/>
  <c r="AE239"/>
  <c r="AU227"/>
  <c r="AW227"/>
  <c r="AL229"/>
  <c r="AN227"/>
  <c r="AE198"/>
  <c r="AF198"/>
  <c r="AC198"/>
  <c r="AD198"/>
  <c r="AT170"/>
  <c r="AM170"/>
  <c r="AT138"/>
  <c r="AM138"/>
  <c r="AK406"/>
  <c r="AT403"/>
  <c r="AT406"/>
  <c r="AM403"/>
  <c r="AW406"/>
  <c r="AP308"/>
  <c r="AO308"/>
  <c r="AB308"/>
  <c r="AB303"/>
  <c r="AM284"/>
  <c r="AT284"/>
  <c r="AL267"/>
  <c r="W241"/>
  <c r="W242"/>
  <c r="AB233"/>
  <c r="AC231"/>
  <c r="AD231"/>
  <c r="AH213"/>
  <c r="AP213"/>
  <c r="AO213"/>
  <c r="AU196"/>
  <c r="AU201"/>
  <c r="AN196"/>
  <c r="AL201"/>
  <c r="AM187"/>
  <c r="AS177"/>
  <c r="AB177"/>
  <c r="AR177"/>
  <c r="T439"/>
  <c r="T444"/>
  <c r="AT139"/>
  <c r="AM139"/>
  <c r="AB120"/>
  <c r="AA115"/>
  <c r="AH109"/>
  <c r="AF109"/>
  <c r="AC109"/>
  <c r="AD109"/>
  <c r="AR72"/>
  <c r="AS72"/>
  <c r="AE26"/>
  <c r="AF26"/>
  <c r="AC26"/>
  <c r="AD26"/>
  <c r="AX26"/>
  <c r="BA26"/>
  <c r="AB332"/>
  <c r="AD266"/>
  <c r="AN263"/>
  <c r="AU263"/>
  <c r="AO215"/>
  <c r="AP215"/>
  <c r="AO211"/>
  <c r="AP211"/>
  <c r="AR200"/>
  <c r="AS200"/>
  <c r="AO192"/>
  <c r="AP192"/>
  <c r="AQ188"/>
  <c r="AQ194"/>
  <c r="AA194"/>
  <c r="AM147"/>
  <c r="AT147"/>
  <c r="AF142"/>
  <c r="AN118"/>
  <c r="AU118"/>
  <c r="AB404"/>
  <c r="AH391"/>
  <c r="AH392"/>
  <c r="AB374"/>
  <c r="AF361"/>
  <c r="AC361"/>
  <c r="AD361"/>
  <c r="AE341"/>
  <c r="AF341"/>
  <c r="AC341"/>
  <c r="AD341"/>
  <c r="AU309"/>
  <c r="AN309"/>
  <c r="AO309"/>
  <c r="AP309"/>
  <c r="AM281"/>
  <c r="AM257"/>
  <c r="AT257"/>
  <c r="AN252"/>
  <c r="AU252"/>
  <c r="AM246"/>
  <c r="AT246"/>
  <c r="AB232"/>
  <c r="AF232"/>
  <c r="AC232"/>
  <c r="AW237"/>
  <c r="AM220"/>
  <c r="AT220"/>
  <c r="AF215"/>
  <c r="AC215"/>
  <c r="AD215"/>
  <c r="AD193"/>
  <c r="AB192"/>
  <c r="AB191"/>
  <c r="AP188"/>
  <c r="AO188"/>
  <c r="AA179"/>
  <c r="AA180"/>
  <c r="AF389"/>
  <c r="AC389"/>
  <c r="AD389"/>
  <c r="AT385"/>
  <c r="AM385"/>
  <c r="AM294"/>
  <c r="AT294"/>
  <c r="AJ321"/>
  <c r="AJ427"/>
  <c r="AB272"/>
  <c r="AO266"/>
  <c r="AP266"/>
  <c r="AP267"/>
  <c r="AD260"/>
  <c r="AN251"/>
  <c r="AU251"/>
  <c r="AM248"/>
  <c r="AT248"/>
  <c r="AN240"/>
  <c r="AN241"/>
  <c r="AU240"/>
  <c r="AU241"/>
  <c r="AL241"/>
  <c r="AG242"/>
  <c r="AG425"/>
  <c r="AM212"/>
  <c r="AT212"/>
  <c r="AM199"/>
  <c r="AT199"/>
  <c r="AM184"/>
  <c r="AT184"/>
  <c r="AW185"/>
  <c r="AT178"/>
  <c r="AM178"/>
  <c r="AM166"/>
  <c r="AM172"/>
  <c r="AT166"/>
  <c r="AK172"/>
  <c r="AF151"/>
  <c r="AC151"/>
  <c r="AD151"/>
  <c r="AA145"/>
  <c r="AH152"/>
  <c r="AT125"/>
  <c r="AM125"/>
  <c r="AP122"/>
  <c r="AO122"/>
  <c r="AP118"/>
  <c r="AO118"/>
  <c r="AP110"/>
  <c r="AO110"/>
  <c r="AP101"/>
  <c r="AO101"/>
  <c r="AO95"/>
  <c r="AP95"/>
  <c r="AB95"/>
  <c r="AT73"/>
  <c r="AM73"/>
  <c r="AT57"/>
  <c r="AM57"/>
  <c r="AT24"/>
  <c r="AM24"/>
  <c r="AS317"/>
  <c r="AR317"/>
  <c r="AH320"/>
  <c r="AA315"/>
  <c r="AB315"/>
  <c r="AP305"/>
  <c r="AO305"/>
  <c r="AF265"/>
  <c r="AC265"/>
  <c r="AD265"/>
  <c r="AB240"/>
  <c r="AH214"/>
  <c r="AF167"/>
  <c r="AC167"/>
  <c r="AD167"/>
  <c r="AP145"/>
  <c r="AO145"/>
  <c r="AN120"/>
  <c r="AU120"/>
  <c r="AM56"/>
  <c r="AT56"/>
  <c r="AB157"/>
  <c r="AM135"/>
  <c r="AT135"/>
  <c r="AO106"/>
  <c r="AP106"/>
  <c r="AN104"/>
  <c r="AU104"/>
  <c r="AN100"/>
  <c r="AU100"/>
  <c r="AM98"/>
  <c r="AT98"/>
  <c r="AN97"/>
  <c r="AU97"/>
  <c r="AO91"/>
  <c r="AP91"/>
  <c r="AB91"/>
  <c r="AX25"/>
  <c r="BA25"/>
  <c r="AE25"/>
  <c r="AF25"/>
  <c r="AC25"/>
  <c r="AD25"/>
  <c r="AA27"/>
  <c r="AQ22"/>
  <c r="AQ27"/>
  <c r="AQ416"/>
  <c r="Z237"/>
  <c r="AH124"/>
  <c r="AA124"/>
  <c r="AQ124"/>
  <c r="AM52"/>
  <c r="AT52"/>
  <c r="AM34"/>
  <c r="AK42"/>
  <c r="AK418"/>
  <c r="AT34"/>
  <c r="AU253"/>
  <c r="AN253"/>
  <c r="AP253"/>
  <c r="AO253"/>
  <c r="AB134"/>
  <c r="AH121"/>
  <c r="AP94"/>
  <c r="AO94"/>
  <c r="AB86"/>
  <c r="AM81"/>
  <c r="AT81"/>
  <c r="AB77"/>
  <c r="AT49"/>
  <c r="AM49"/>
  <c r="AB38"/>
  <c r="AB247"/>
  <c r="AK201"/>
  <c r="AU132"/>
  <c r="AN132"/>
  <c r="AB117"/>
  <c r="AU83"/>
  <c r="AN83"/>
  <c r="AR70"/>
  <c r="AS70"/>
  <c r="AN51"/>
  <c r="AU51"/>
  <c r="AH87"/>
  <c r="AH419"/>
  <c r="AA44"/>
  <c r="AK164"/>
  <c r="AM163"/>
  <c r="AM164"/>
  <c r="AT163"/>
  <c r="AT164"/>
  <c r="AP137"/>
  <c r="AO137"/>
  <c r="AP135"/>
  <c r="AO135"/>
  <c r="AW116"/>
  <c r="AY116"/>
  <c r="AK87"/>
  <c r="AK419"/>
  <c r="AM17"/>
  <c r="AT17"/>
  <c r="AT447"/>
  <c r="AH133"/>
  <c r="AD133"/>
  <c r="AF116"/>
  <c r="AC116"/>
  <c r="AD116"/>
  <c r="AB85"/>
  <c r="AM82"/>
  <c r="AT82"/>
  <c r="AB78"/>
  <c r="AW32"/>
  <c r="AW417"/>
  <c r="AN15"/>
  <c r="AU15"/>
  <c r="AB111"/>
  <c r="AX46"/>
  <c r="BA46"/>
  <c r="AE46"/>
  <c r="AF46"/>
  <c r="AC46"/>
  <c r="AD46"/>
  <c r="AF250"/>
  <c r="AC250"/>
  <c r="AD250"/>
  <c r="AH250"/>
  <c r="AF250" i="41"/>
  <c r="AC250"/>
  <c r="AD250"/>
  <c r="B327"/>
  <c r="B330"/>
  <c r="B331"/>
  <c r="B332"/>
  <c r="B333"/>
  <c r="B334"/>
  <c r="B335"/>
  <c r="B338"/>
  <c r="B339"/>
  <c r="B340"/>
  <c r="B341"/>
  <c r="B342"/>
  <c r="B347"/>
  <c r="B353"/>
  <c r="B354"/>
  <c r="B357"/>
  <c r="B358"/>
  <c r="B359"/>
  <c r="B360"/>
  <c r="B361"/>
  <c r="B362"/>
  <c r="B365"/>
  <c r="B370"/>
  <c r="B373"/>
  <c r="B374"/>
  <c r="B375"/>
  <c r="B376"/>
  <c r="B381"/>
  <c r="B384"/>
  <c r="B385"/>
  <c r="B386"/>
  <c r="B387"/>
  <c r="B388"/>
  <c r="B389"/>
  <c r="B390"/>
  <c r="B391"/>
  <c r="B394"/>
  <c r="B399"/>
  <c r="B403"/>
  <c r="B405"/>
  <c r="B409"/>
  <c r="B410"/>
  <c r="B411"/>
  <c r="AM434"/>
  <c r="AM443"/>
  <c r="AC412"/>
  <c r="AD411"/>
  <c r="AT434"/>
  <c r="AT443"/>
  <c r="AN412" i="21"/>
  <c r="S454"/>
  <c r="S444" i="41"/>
  <c r="AV444"/>
  <c r="AM194"/>
  <c r="AE70"/>
  <c r="AF70"/>
  <c r="AC70"/>
  <c r="AD70"/>
  <c r="AF254"/>
  <c r="AC254"/>
  <c r="AD254"/>
  <c r="AB140"/>
  <c r="AF169"/>
  <c r="AC169"/>
  <c r="AD169"/>
  <c r="AD210"/>
  <c r="AH267"/>
  <c r="AM223"/>
  <c r="AD123"/>
  <c r="AF123"/>
  <c r="AC123"/>
  <c r="AB120"/>
  <c r="AF120"/>
  <c r="AC120"/>
  <c r="AD120"/>
  <c r="AP126"/>
  <c r="AL202"/>
  <c r="AL423"/>
  <c r="AR87"/>
  <c r="AR419"/>
  <c r="AM126"/>
  <c r="AU194"/>
  <c r="AU202"/>
  <c r="AU423"/>
  <c r="AM207"/>
  <c r="AM267"/>
  <c r="AK160"/>
  <c r="AN140"/>
  <c r="AP172"/>
  <c r="AB147"/>
  <c r="AU237"/>
  <c r="AU242"/>
  <c r="AU425"/>
  <c r="AT223"/>
  <c r="AB262"/>
  <c r="AQ119"/>
  <c r="AB119"/>
  <c r="AF119"/>
  <c r="AC119"/>
  <c r="AD119"/>
  <c r="AW242"/>
  <c r="AW425"/>
  <c r="AN281"/>
  <c r="AW224"/>
  <c r="AW424"/>
  <c r="AN87"/>
  <c r="AN419"/>
  <c r="AG439"/>
  <c r="AG444"/>
  <c r="AO194"/>
  <c r="AS87"/>
  <c r="AB211"/>
  <c r="AF211"/>
  <c r="AC211"/>
  <c r="AD211"/>
  <c r="AT267"/>
  <c r="AK127"/>
  <c r="AO126"/>
  <c r="AM172"/>
  <c r="AN201"/>
  <c r="AF100"/>
  <c r="AH100"/>
  <c r="AV444" i="21"/>
  <c r="S444"/>
  <c r="B400"/>
  <c r="B403"/>
  <c r="B405"/>
  <c r="B409"/>
  <c r="B410"/>
  <c r="B411"/>
  <c r="AW363"/>
  <c r="AY357"/>
  <c r="AO406"/>
  <c r="AW299"/>
  <c r="AY291"/>
  <c r="AT392"/>
  <c r="AW355"/>
  <c r="AY353"/>
  <c r="AK194"/>
  <c r="AK202"/>
  <c r="AK423"/>
  <c r="AK127"/>
  <c r="AH185"/>
  <c r="AH202"/>
  <c r="AH423"/>
  <c r="AO384"/>
  <c r="AB384"/>
  <c r="AF384"/>
  <c r="AF392"/>
  <c r="AP384"/>
  <c r="AU267"/>
  <c r="AW194"/>
  <c r="AP229"/>
  <c r="AP242"/>
  <c r="AP425"/>
  <c r="AT328"/>
  <c r="AP273"/>
  <c r="P413"/>
  <c r="AO152"/>
  <c r="AS287"/>
  <c r="AT336"/>
  <c r="AE318"/>
  <c r="AF318"/>
  <c r="AC318"/>
  <c r="AD318"/>
  <c r="AO392"/>
  <c r="AW344"/>
  <c r="AW428"/>
  <c r="AW382"/>
  <c r="AY381"/>
  <c r="AH336"/>
  <c r="AB333"/>
  <c r="AF333"/>
  <c r="AC333"/>
  <c r="AD333"/>
  <c r="AK237"/>
  <c r="AK242"/>
  <c r="AK425"/>
  <c r="R355"/>
  <c r="R367"/>
  <c r="AW180"/>
  <c r="AW422"/>
  <c r="AO267"/>
  <c r="AF228"/>
  <c r="AC228"/>
  <c r="AD228"/>
  <c r="AH228"/>
  <c r="AH229"/>
  <c r="AH242"/>
  <c r="AH425"/>
  <c r="AN113"/>
  <c r="AW258"/>
  <c r="AW288"/>
  <c r="AW426"/>
  <c r="AY245"/>
  <c r="AS288"/>
  <c r="AS426"/>
  <c r="AP180"/>
  <c r="AP422"/>
  <c r="AN42"/>
  <c r="AN418"/>
  <c r="AN237"/>
  <c r="AU194"/>
  <c r="AK353"/>
  <c r="AT407"/>
  <c r="AA366"/>
  <c r="AA367"/>
  <c r="AQ365"/>
  <c r="AQ366"/>
  <c r="AQ367"/>
  <c r="AQ430"/>
  <c r="AB113"/>
  <c r="AN201"/>
  <c r="AW313"/>
  <c r="AY301"/>
  <c r="AO412"/>
  <c r="AO434"/>
  <c r="AS320"/>
  <c r="AS321"/>
  <c r="AS427"/>
  <c r="AP336"/>
  <c r="AN328"/>
  <c r="AP392"/>
  <c r="Z378"/>
  <c r="AE40"/>
  <c r="AF40"/>
  <c r="AC40"/>
  <c r="AD40"/>
  <c r="AX40"/>
  <c r="BA40"/>
  <c r="AF108"/>
  <c r="AC108"/>
  <c r="AD108"/>
  <c r="AH108"/>
  <c r="AB365"/>
  <c r="AW451"/>
  <c r="AI439"/>
  <c r="AG435"/>
  <c r="AW229"/>
  <c r="AW242"/>
  <c r="AW425"/>
  <c r="AY227"/>
  <c r="AT113"/>
  <c r="AR223"/>
  <c r="AR224"/>
  <c r="AR424"/>
  <c r="AO172"/>
  <c r="AO237"/>
  <c r="AO242"/>
  <c r="AO425"/>
  <c r="AW216"/>
  <c r="AY209"/>
  <c r="AS223"/>
  <c r="AS224"/>
  <c r="AS424"/>
  <c r="AF261"/>
  <c r="AC261"/>
  <c r="AD261"/>
  <c r="AD267"/>
  <c r="AH126"/>
  <c r="AW202"/>
  <c r="AW423"/>
  <c r="AT194"/>
  <c r="AK180"/>
  <c r="AK422"/>
  <c r="AG413"/>
  <c r="AP152"/>
  <c r="AN229"/>
  <c r="AN242"/>
  <c r="AN425"/>
  <c r="AW207"/>
  <c r="AY205"/>
  <c r="BA22"/>
  <c r="AT223"/>
  <c r="AM179"/>
  <c r="AN194"/>
  <c r="AU281"/>
  <c r="AT87"/>
  <c r="AT419"/>
  <c r="AM159"/>
  <c r="AW452"/>
  <c r="AS438"/>
  <c r="AS420"/>
  <c r="AP237"/>
  <c r="AM42"/>
  <c r="AM418"/>
  <c r="AB194"/>
  <c r="BA18"/>
  <c r="AX19"/>
  <c r="AO126"/>
  <c r="AM87"/>
  <c r="AM419"/>
  <c r="AR87"/>
  <c r="AR437"/>
  <c r="AM113"/>
  <c r="AU179"/>
  <c r="AL202"/>
  <c r="AL423"/>
  <c r="AM267"/>
  <c r="AT201"/>
  <c r="AF149"/>
  <c r="AC149"/>
  <c r="AD149"/>
  <c r="AR281"/>
  <c r="AE66"/>
  <c r="AF66"/>
  <c r="AC66"/>
  <c r="AD66"/>
  <c r="R25" i="42"/>
  <c r="O25"/>
  <c r="O13"/>
  <c r="H138" i="8"/>
  <c r="H145"/>
  <c r="O21" i="42"/>
  <c r="I138" i="8"/>
  <c r="I17" i="42"/>
  <c r="I13"/>
  <c r="P13"/>
  <c r="I8"/>
  <c r="O8"/>
  <c r="O4"/>
  <c r="I4"/>
  <c r="P4"/>
  <c r="AN433" i="41"/>
  <c r="AN442"/>
  <c r="AE441"/>
  <c r="AE430"/>
  <c r="AR428"/>
  <c r="AR349"/>
  <c r="AR440"/>
  <c r="AD296"/>
  <c r="AF296"/>
  <c r="AC296"/>
  <c r="AB377"/>
  <c r="AF373"/>
  <c r="AU442"/>
  <c r="AU433"/>
  <c r="AW428"/>
  <c r="AW349"/>
  <c r="AW440"/>
  <c r="AF358"/>
  <c r="AC358"/>
  <c r="AD358"/>
  <c r="AA403"/>
  <c r="AH406"/>
  <c r="AH407"/>
  <c r="AF271"/>
  <c r="AC271"/>
  <c r="AD271"/>
  <c r="AB363"/>
  <c r="AF382"/>
  <c r="AC381"/>
  <c r="AN443"/>
  <c r="AN434"/>
  <c r="AI16"/>
  <c r="N16"/>
  <c r="G21"/>
  <c r="R16"/>
  <c r="AJ16"/>
  <c r="AQ44"/>
  <c r="AQ87"/>
  <c r="AQ419"/>
  <c r="AA87"/>
  <c r="AB44"/>
  <c r="AL160"/>
  <c r="AA267"/>
  <c r="AQ260"/>
  <c r="AQ267"/>
  <c r="AB260"/>
  <c r="AH336"/>
  <c r="AN32"/>
  <c r="AN417"/>
  <c r="AA126"/>
  <c r="AQ115"/>
  <c r="AB115"/>
  <c r="AM87"/>
  <c r="AM419"/>
  <c r="AF121"/>
  <c r="AC121"/>
  <c r="AD121"/>
  <c r="AO140"/>
  <c r="AT370"/>
  <c r="AT371"/>
  <c r="AT378"/>
  <c r="AT431"/>
  <c r="AK371"/>
  <c r="AK378"/>
  <c r="AK431"/>
  <c r="AM370"/>
  <c r="AM371"/>
  <c r="AM378"/>
  <c r="AM431"/>
  <c r="AP152"/>
  <c r="AF235"/>
  <c r="AC235"/>
  <c r="AD235"/>
  <c r="AF188"/>
  <c r="AC188"/>
  <c r="AD188"/>
  <c r="AH237"/>
  <c r="AH242"/>
  <c r="AH425"/>
  <c r="AA231"/>
  <c r="AF262"/>
  <c r="AC262"/>
  <c r="AD262"/>
  <c r="AF304"/>
  <c r="AC304"/>
  <c r="AD304"/>
  <c r="AI428"/>
  <c r="AI349"/>
  <c r="AI440"/>
  <c r="AA348"/>
  <c r="AQ347"/>
  <c r="AQ348"/>
  <c r="AQ429"/>
  <c r="AB347"/>
  <c r="AF400"/>
  <c r="AB401"/>
  <c r="AF335"/>
  <c r="AC335"/>
  <c r="AD335"/>
  <c r="AG428"/>
  <c r="AG435"/>
  <c r="AG349"/>
  <c r="AG440"/>
  <c r="AP396"/>
  <c r="AP432"/>
  <c r="AP406"/>
  <c r="AP407"/>
  <c r="AO443"/>
  <c r="AO434"/>
  <c r="AL438"/>
  <c r="AL420"/>
  <c r="AM152"/>
  <c r="AR159"/>
  <c r="AR160"/>
  <c r="AR241"/>
  <c r="AR242"/>
  <c r="AR425"/>
  <c r="AO407"/>
  <c r="AF354"/>
  <c r="AC354"/>
  <c r="AD354"/>
  <c r="AH207"/>
  <c r="AJ439"/>
  <c r="AC269"/>
  <c r="AF116"/>
  <c r="AC116"/>
  <c r="AD116"/>
  <c r="AH92"/>
  <c r="AF92"/>
  <c r="AC92"/>
  <c r="AD92"/>
  <c r="AF252"/>
  <c r="AC252"/>
  <c r="AD252"/>
  <c r="W179"/>
  <c r="W180"/>
  <c r="AS174"/>
  <c r="AS179"/>
  <c r="AS180"/>
  <c r="AS422"/>
  <c r="AR174"/>
  <c r="AR179"/>
  <c r="AR180"/>
  <c r="AR422"/>
  <c r="AF139"/>
  <c r="AC139"/>
  <c r="AD139"/>
  <c r="AE197"/>
  <c r="AF197"/>
  <c r="AC197"/>
  <c r="AD197"/>
  <c r="AE280"/>
  <c r="AF280"/>
  <c r="AC280"/>
  <c r="AD280"/>
  <c r="AE342"/>
  <c r="AF342"/>
  <c r="AC342"/>
  <c r="AD342"/>
  <c r="AF303"/>
  <c r="AC303"/>
  <c r="AD303"/>
  <c r="AK428"/>
  <c r="AK349"/>
  <c r="AK440"/>
  <c r="AU396"/>
  <c r="AU432"/>
  <c r="AK442"/>
  <c r="AK433"/>
  <c r="AF388"/>
  <c r="AE199"/>
  <c r="AF199"/>
  <c r="AC199"/>
  <c r="AD199"/>
  <c r="AX24"/>
  <c r="AE24"/>
  <c r="AF24"/>
  <c r="AC24"/>
  <c r="AD24"/>
  <c r="AB447"/>
  <c r="AF17"/>
  <c r="AC17"/>
  <c r="AD17"/>
  <c r="AK438"/>
  <c r="AK420"/>
  <c r="AA27"/>
  <c r="AQ22"/>
  <c r="AQ27"/>
  <c r="AB22"/>
  <c r="AM140"/>
  <c r="AA241"/>
  <c r="AQ239"/>
  <c r="AQ241"/>
  <c r="AE317"/>
  <c r="AF317"/>
  <c r="AC317"/>
  <c r="AD317"/>
  <c r="AW321"/>
  <c r="AW427"/>
  <c r="AF391"/>
  <c r="AC391"/>
  <c r="AD391"/>
  <c r="AE62"/>
  <c r="AF62"/>
  <c r="AC62"/>
  <c r="AD62"/>
  <c r="AF147"/>
  <c r="AC147"/>
  <c r="AD147"/>
  <c r="AO209"/>
  <c r="AO216"/>
  <c r="AP209"/>
  <c r="AP216"/>
  <c r="Z216"/>
  <c r="Z224"/>
  <c r="AE341"/>
  <c r="AF341"/>
  <c r="AC341"/>
  <c r="AD341"/>
  <c r="AH292"/>
  <c r="AF292"/>
  <c r="AC292"/>
  <c r="AD292"/>
  <c r="AQ373"/>
  <c r="AQ377"/>
  <c r="AQ378"/>
  <c r="AQ431"/>
  <c r="AA377"/>
  <c r="AA378"/>
  <c r="AF310"/>
  <c r="AC310"/>
  <c r="AD310"/>
  <c r="AT407"/>
  <c r="AN113"/>
  <c r="AM202"/>
  <c r="AM423"/>
  <c r="AF212"/>
  <c r="AC212"/>
  <c r="AD212"/>
  <c r="AA174"/>
  <c r="AH179"/>
  <c r="R258"/>
  <c r="R288"/>
  <c r="Z245"/>
  <c r="AL245"/>
  <c r="AK245"/>
  <c r="AW245"/>
  <c r="AB245"/>
  <c r="AQ143"/>
  <c r="AQ152"/>
  <c r="AA152"/>
  <c r="AA160"/>
  <c r="AB143"/>
  <c r="AB152"/>
  <c r="AB160"/>
  <c r="AT126"/>
  <c r="AW115"/>
  <c r="AW126"/>
  <c r="AN152"/>
  <c r="AL224"/>
  <c r="AL424"/>
  <c r="AQ190"/>
  <c r="AB190"/>
  <c r="AT287"/>
  <c r="AF359"/>
  <c r="AC359"/>
  <c r="AD359"/>
  <c r="AW180"/>
  <c r="AW422"/>
  <c r="AC131"/>
  <c r="AA187"/>
  <c r="AH194"/>
  <c r="AO207"/>
  <c r="AN336"/>
  <c r="AN344"/>
  <c r="AK299"/>
  <c r="AT291"/>
  <c r="AT299"/>
  <c r="AM291"/>
  <c r="AM299"/>
  <c r="AR437"/>
  <c r="AA42"/>
  <c r="AQ34"/>
  <c r="AQ42"/>
  <c r="AQ418"/>
  <c r="AB34"/>
  <c r="AU42"/>
  <c r="AN202"/>
  <c r="AN423"/>
  <c r="AE51"/>
  <c r="AF51"/>
  <c r="AC51"/>
  <c r="AD51"/>
  <c r="AE156"/>
  <c r="AF156"/>
  <c r="AC156"/>
  <c r="AD156"/>
  <c r="AP113"/>
  <c r="AP127"/>
  <c r="AD137"/>
  <c r="AF137"/>
  <c r="AC137"/>
  <c r="AF146"/>
  <c r="AC146"/>
  <c r="AD146"/>
  <c r="AB239"/>
  <c r="AF331"/>
  <c r="AC331"/>
  <c r="AD331"/>
  <c r="AF249"/>
  <c r="AC249"/>
  <c r="AD249"/>
  <c r="AM287"/>
  <c r="AD253"/>
  <c r="AF253"/>
  <c r="AC253"/>
  <c r="AU281"/>
  <c r="AD332"/>
  <c r="AF332"/>
  <c r="AC332"/>
  <c r="AM328"/>
  <c r="AM344"/>
  <c r="AF125"/>
  <c r="AC125"/>
  <c r="AD125"/>
  <c r="AM392"/>
  <c r="AM396"/>
  <c r="AM432"/>
  <c r="AF30"/>
  <c r="AC30"/>
  <c r="AM113"/>
  <c r="AM127"/>
  <c r="AB118"/>
  <c r="AE175"/>
  <c r="AF175"/>
  <c r="AC175"/>
  <c r="AD175"/>
  <c r="R180"/>
  <c r="Z164"/>
  <c r="Z180"/>
  <c r="AP163"/>
  <c r="AP164"/>
  <c r="AO163"/>
  <c r="AO164"/>
  <c r="AO180"/>
  <c r="AO422"/>
  <c r="AF248"/>
  <c r="AC248"/>
  <c r="AD248"/>
  <c r="AQ275"/>
  <c r="AP207"/>
  <c r="AP224"/>
  <c r="AP424"/>
  <c r="AU267"/>
  <c r="AQ283"/>
  <c r="AQ287"/>
  <c r="AA287"/>
  <c r="AB283"/>
  <c r="AB275"/>
  <c r="AU336"/>
  <c r="AU344"/>
  <c r="AF261"/>
  <c r="AC261"/>
  <c r="AD261"/>
  <c r="AP291"/>
  <c r="AP299"/>
  <c r="AO291"/>
  <c r="AO299"/>
  <c r="Z299"/>
  <c r="AL299"/>
  <c r="AU291"/>
  <c r="AU299"/>
  <c r="AN291"/>
  <c r="AN299"/>
  <c r="AB334"/>
  <c r="AM407"/>
  <c r="AF410"/>
  <c r="AC410"/>
  <c r="AD410"/>
  <c r="AU434"/>
  <c r="AU443"/>
  <c r="AJ13"/>
  <c r="R13"/>
  <c r="AI13"/>
  <c r="N13"/>
  <c r="G14"/>
  <c r="AF117"/>
  <c r="AC117"/>
  <c r="AD117"/>
  <c r="AU140"/>
  <c r="AG413"/>
  <c r="AH126"/>
  <c r="AE26"/>
  <c r="AF26"/>
  <c r="AC26"/>
  <c r="AD26"/>
  <c r="AX26"/>
  <c r="AF97"/>
  <c r="AC97"/>
  <c r="AD97"/>
  <c r="AW378"/>
  <c r="AW431"/>
  <c r="AF142"/>
  <c r="AH209"/>
  <c r="AU209"/>
  <c r="AU216"/>
  <c r="AU224"/>
  <c r="AU424"/>
  <c r="AL216"/>
  <c r="AN209"/>
  <c r="AN216"/>
  <c r="AN224"/>
  <c r="AN424"/>
  <c r="AC229"/>
  <c r="AD227"/>
  <c r="AD229"/>
  <c r="AP194"/>
  <c r="AP202"/>
  <c r="AP423"/>
  <c r="AP267"/>
  <c r="AW442"/>
  <c r="AW433"/>
  <c r="AT353"/>
  <c r="AT355"/>
  <c r="AT367"/>
  <c r="AK355"/>
  <c r="AK367"/>
  <c r="AM353"/>
  <c r="AM355"/>
  <c r="AM367"/>
  <c r="AB355"/>
  <c r="AB367"/>
  <c r="AF353"/>
  <c r="Z396"/>
  <c r="AP434"/>
  <c r="AP443"/>
  <c r="AF144"/>
  <c r="AC144"/>
  <c r="AD144"/>
  <c r="AE35"/>
  <c r="AF35"/>
  <c r="AC35"/>
  <c r="AD35"/>
  <c r="AX35"/>
  <c r="AU113"/>
  <c r="AK202"/>
  <c r="AK423"/>
  <c r="AS281"/>
  <c r="AS288"/>
  <c r="AS426"/>
  <c r="AL344"/>
  <c r="AA328"/>
  <c r="AA344"/>
  <c r="AA349"/>
  <c r="AQ325"/>
  <c r="AQ328"/>
  <c r="AB325"/>
  <c r="AF389"/>
  <c r="AC389"/>
  <c r="AD389"/>
  <c r="AF104"/>
  <c r="AC104"/>
  <c r="AD104"/>
  <c r="AF135"/>
  <c r="AC135"/>
  <c r="AD135"/>
  <c r="AE39"/>
  <c r="AF39"/>
  <c r="AC39"/>
  <c r="AD39"/>
  <c r="AX39"/>
  <c r="AB185"/>
  <c r="AF183"/>
  <c r="AH183"/>
  <c r="AH185"/>
  <c r="AH202"/>
  <c r="AH423"/>
  <c r="AE176"/>
  <c r="AF176"/>
  <c r="AC176"/>
  <c r="AD176"/>
  <c r="AH90"/>
  <c r="AF90"/>
  <c r="AF306"/>
  <c r="AC306"/>
  <c r="AD306"/>
  <c r="AF263"/>
  <c r="AC263"/>
  <c r="AD263"/>
  <c r="AF266"/>
  <c r="AC266"/>
  <c r="AD266"/>
  <c r="AO328"/>
  <c r="AO344"/>
  <c r="AE223"/>
  <c r="AE224"/>
  <c r="AE424"/>
  <c r="AF218"/>
  <c r="AU163"/>
  <c r="AU164"/>
  <c r="AN163"/>
  <c r="AN164"/>
  <c r="AL164"/>
  <c r="AL180"/>
  <c r="AL422"/>
  <c r="AE196"/>
  <c r="AB201"/>
  <c r="AS428"/>
  <c r="AS349"/>
  <c r="AS440"/>
  <c r="AA270"/>
  <c r="AH273"/>
  <c r="AH412"/>
  <c r="AA409"/>
  <c r="AL443"/>
  <c r="AL434"/>
  <c r="AQ330"/>
  <c r="AQ336"/>
  <c r="AA336"/>
  <c r="AB330"/>
  <c r="AU32"/>
  <c r="AU417"/>
  <c r="AT87"/>
  <c r="AT419"/>
  <c r="Z371"/>
  <c r="Z378"/>
  <c r="AP370"/>
  <c r="AP371"/>
  <c r="AP378"/>
  <c r="AP431"/>
  <c r="AO370"/>
  <c r="AO371"/>
  <c r="AO378"/>
  <c r="AO431"/>
  <c r="AH370"/>
  <c r="AH371"/>
  <c r="AH378"/>
  <c r="AH431"/>
  <c r="AL371"/>
  <c r="AL378"/>
  <c r="AL431"/>
  <c r="AU370"/>
  <c r="AU371"/>
  <c r="AU378"/>
  <c r="AU431"/>
  <c r="AN370"/>
  <c r="AN371"/>
  <c r="AN378"/>
  <c r="AN431"/>
  <c r="AU159"/>
  <c r="AD177"/>
  <c r="AE177"/>
  <c r="AF177"/>
  <c r="AC177"/>
  <c r="AF327"/>
  <c r="AC327"/>
  <c r="AD327"/>
  <c r="AP336"/>
  <c r="AE276"/>
  <c r="AF276"/>
  <c r="AC276"/>
  <c r="AD276"/>
  <c r="AL355"/>
  <c r="AL367"/>
  <c r="AN353"/>
  <c r="AN355"/>
  <c r="AN367"/>
  <c r="AU353"/>
  <c r="AU355"/>
  <c r="AU367"/>
  <c r="AT452"/>
  <c r="AB232"/>
  <c r="AQ430"/>
  <c r="AC205"/>
  <c r="AH93"/>
  <c r="AF93"/>
  <c r="AC93"/>
  <c r="AD93"/>
  <c r="AS419"/>
  <c r="AS437"/>
  <c r="AO113"/>
  <c r="AW451"/>
  <c r="R23" i="42"/>
  <c r="S23"/>
  <c r="AH430" i="41"/>
  <c r="AC338"/>
  <c r="AP328"/>
  <c r="AP344"/>
  <c r="AF265"/>
  <c r="AC265"/>
  <c r="AD265"/>
  <c r="AE50"/>
  <c r="AF50"/>
  <c r="AC50"/>
  <c r="AD50"/>
  <c r="AT113"/>
  <c r="AK421"/>
  <c r="AM163"/>
  <c r="AM164"/>
  <c r="AM180"/>
  <c r="AM422"/>
  <c r="AK164"/>
  <c r="AT163"/>
  <c r="AT164"/>
  <c r="AN242"/>
  <c r="AN425"/>
  <c r="AO237"/>
  <c r="AO242"/>
  <c r="AO425"/>
  <c r="AU392"/>
  <c r="R321"/>
  <c r="AF98"/>
  <c r="AC98"/>
  <c r="AD98"/>
  <c r="AQ122"/>
  <c r="AB122"/>
  <c r="AH206"/>
  <c r="AF206"/>
  <c r="AC206"/>
  <c r="AD206"/>
  <c r="AU174"/>
  <c r="AU179"/>
  <c r="AL179"/>
  <c r="AN174"/>
  <c r="AN179"/>
  <c r="AK179"/>
  <c r="AM174"/>
  <c r="AM179"/>
  <c r="AT174"/>
  <c r="AT179"/>
  <c r="Z127"/>
  <c r="AU152"/>
  <c r="AT194"/>
  <c r="AT207"/>
  <c r="AT237"/>
  <c r="AT242"/>
  <c r="AT425"/>
  <c r="AL301"/>
  <c r="AK301"/>
  <c r="Z301"/>
  <c r="R313"/>
  <c r="AW301"/>
  <c r="AW313"/>
  <c r="AU320"/>
  <c r="AO363"/>
  <c r="AT328"/>
  <c r="AT344"/>
  <c r="AF366"/>
  <c r="AC365"/>
  <c r="AE339"/>
  <c r="AB343"/>
  <c r="AL442"/>
  <c r="AL433"/>
  <c r="AT392"/>
  <c r="AT396"/>
  <c r="AT432"/>
  <c r="AF145"/>
  <c r="AC145"/>
  <c r="AD145"/>
  <c r="AH416"/>
  <c r="AH437"/>
  <c r="AT140"/>
  <c r="AB163"/>
  <c r="AO202"/>
  <c r="AO423"/>
  <c r="AF133"/>
  <c r="AC133"/>
  <c r="AD133"/>
  <c r="AH133"/>
  <c r="AH140"/>
  <c r="AH160"/>
  <c r="AF150"/>
  <c r="AC150"/>
  <c r="AD150"/>
  <c r="AD193"/>
  <c r="AF193"/>
  <c r="AC193"/>
  <c r="AB215"/>
  <c r="AE240"/>
  <c r="AF240"/>
  <c r="AC240"/>
  <c r="AD240"/>
  <c r="AD319"/>
  <c r="AE319"/>
  <c r="AF319"/>
  <c r="AC319"/>
  <c r="AN392"/>
  <c r="AN396"/>
  <c r="AN432"/>
  <c r="AB291"/>
  <c r="AB446"/>
  <c r="AF363"/>
  <c r="AC357"/>
  <c r="AB311"/>
  <c r="R12"/>
  <c r="G19"/>
  <c r="AU87"/>
  <c r="AU419"/>
  <c r="AN126"/>
  <c r="AA32"/>
  <c r="AQ29"/>
  <c r="AQ32"/>
  <c r="AQ417"/>
  <c r="AB29"/>
  <c r="AA172"/>
  <c r="AQ166"/>
  <c r="AQ172"/>
  <c r="AB166"/>
  <c r="AF236"/>
  <c r="AC236"/>
  <c r="AD236"/>
  <c r="AE157"/>
  <c r="AF157"/>
  <c r="AC157"/>
  <c r="AD157"/>
  <c r="AP140"/>
  <c r="AP160"/>
  <c r="AB370"/>
  <c r="AO152"/>
  <c r="AN159"/>
  <c r="AN160"/>
  <c r="AT209"/>
  <c r="AT216"/>
  <c r="AM209"/>
  <c r="AM216"/>
  <c r="AK216"/>
  <c r="AK224"/>
  <c r="AK424"/>
  <c r="AU241"/>
  <c r="AB159"/>
  <c r="AE154"/>
  <c r="AQ321"/>
  <c r="AQ427"/>
  <c r="AB392"/>
  <c r="AB396"/>
  <c r="AB432"/>
  <c r="AO336"/>
  <c r="AH294"/>
  <c r="AF294"/>
  <c r="AC294"/>
  <c r="AD294"/>
  <c r="AA320"/>
  <c r="AA321"/>
  <c r="AQ315"/>
  <c r="AQ320"/>
  <c r="AB315"/>
  <c r="Z355"/>
  <c r="Z367"/>
  <c r="AO353"/>
  <c r="AO355"/>
  <c r="AO367"/>
  <c r="AP353"/>
  <c r="AP355"/>
  <c r="AP367"/>
  <c r="AW367"/>
  <c r="AC394"/>
  <c r="AF395"/>
  <c r="AO406"/>
  <c r="AT202"/>
  <c r="AT423"/>
  <c r="AT152"/>
  <c r="AS159"/>
  <c r="AS160"/>
  <c r="AS241"/>
  <c r="AS242"/>
  <c r="AS425"/>
  <c r="AA159"/>
  <c r="AQ154"/>
  <c r="AQ159"/>
  <c r="W288"/>
  <c r="AH344"/>
  <c r="AT406"/>
  <c r="AB207"/>
  <c r="AB395" i="21"/>
  <c r="AE394"/>
  <c r="AM344"/>
  <c r="AK428"/>
  <c r="AK349"/>
  <c r="AK440"/>
  <c r="AB320"/>
  <c r="AE315"/>
  <c r="AT442"/>
  <c r="AT433"/>
  <c r="AS428"/>
  <c r="AS349"/>
  <c r="AS440"/>
  <c r="AO443"/>
  <c r="AH245"/>
  <c r="AB258"/>
  <c r="AF245"/>
  <c r="AB42"/>
  <c r="AX34"/>
  <c r="AE34"/>
  <c r="AN209"/>
  <c r="AN216"/>
  <c r="AL216"/>
  <c r="AU209"/>
  <c r="AU216"/>
  <c r="AB124"/>
  <c r="AM152"/>
  <c r="AN406"/>
  <c r="AH251"/>
  <c r="AF251"/>
  <c r="AC251"/>
  <c r="AD251"/>
  <c r="AF131"/>
  <c r="AH131"/>
  <c r="AB140"/>
  <c r="AE76"/>
  <c r="AF76"/>
  <c r="AC76"/>
  <c r="AD76"/>
  <c r="AQ29"/>
  <c r="AQ32"/>
  <c r="AQ417"/>
  <c r="AA32"/>
  <c r="AB29"/>
  <c r="AF147"/>
  <c r="AC147"/>
  <c r="AD147"/>
  <c r="AR201"/>
  <c r="AR202"/>
  <c r="AR423"/>
  <c r="AL258"/>
  <c r="AL288"/>
  <c r="AL426"/>
  <c r="AN245"/>
  <c r="AN258"/>
  <c r="AU245"/>
  <c r="AU258"/>
  <c r="AU291"/>
  <c r="AU299"/>
  <c r="AN291"/>
  <c r="AN299"/>
  <c r="AL299"/>
  <c r="AM381"/>
  <c r="AM382"/>
  <c r="AT381"/>
  <c r="AT382"/>
  <c r="AT396"/>
  <c r="AT432"/>
  <c r="AK382"/>
  <c r="AK396"/>
  <c r="AK432"/>
  <c r="AN434"/>
  <c r="AN443"/>
  <c r="Z180"/>
  <c r="AE81"/>
  <c r="AF81"/>
  <c r="AC81"/>
  <c r="AD81"/>
  <c r="AN223"/>
  <c r="AP353"/>
  <c r="AP355"/>
  <c r="Z355"/>
  <c r="AO353"/>
  <c r="AO355"/>
  <c r="AO367"/>
  <c r="AH344"/>
  <c r="AF375"/>
  <c r="AC375"/>
  <c r="AD375"/>
  <c r="AC410"/>
  <c r="AD410"/>
  <c r="AH134"/>
  <c r="AF134"/>
  <c r="AC134"/>
  <c r="AD134"/>
  <c r="AF95"/>
  <c r="AC95"/>
  <c r="AD95"/>
  <c r="AF404"/>
  <c r="AC404"/>
  <c r="AD404"/>
  <c r="AF332"/>
  <c r="AC332"/>
  <c r="AD332"/>
  <c r="AM194"/>
  <c r="AM202"/>
  <c r="AM423"/>
  <c r="AP344"/>
  <c r="AL207"/>
  <c r="AU205"/>
  <c r="AU207"/>
  <c r="AN205"/>
  <c r="AN207"/>
  <c r="AK313"/>
  <c r="AM301"/>
  <c r="AM313"/>
  <c r="AT301"/>
  <c r="AT313"/>
  <c r="AU392"/>
  <c r="AB363"/>
  <c r="AF357"/>
  <c r="AK216"/>
  <c r="AT209"/>
  <c r="AT216"/>
  <c r="AM209"/>
  <c r="AM216"/>
  <c r="AU377"/>
  <c r="AR419"/>
  <c r="AE175"/>
  <c r="AF175"/>
  <c r="AC175"/>
  <c r="AD175"/>
  <c r="AA273"/>
  <c r="AQ269"/>
  <c r="AQ273"/>
  <c r="AB269"/>
  <c r="AT412"/>
  <c r="AK140"/>
  <c r="AK160"/>
  <c r="AM131"/>
  <c r="AM140"/>
  <c r="AT131"/>
  <c r="AO113"/>
  <c r="AO127"/>
  <c r="AM126"/>
  <c r="AF385"/>
  <c r="AC385"/>
  <c r="AD385"/>
  <c r="AN159"/>
  <c r="AF121"/>
  <c r="AC121"/>
  <c r="AD121"/>
  <c r="AT245"/>
  <c r="AT258"/>
  <c r="AM245"/>
  <c r="AM258"/>
  <c r="AK258"/>
  <c r="AK288"/>
  <c r="AK426"/>
  <c r="AW396"/>
  <c r="AW432"/>
  <c r="AL434"/>
  <c r="AL443"/>
  <c r="AS159"/>
  <c r="AS160"/>
  <c r="AU223"/>
  <c r="AC403"/>
  <c r="AB353"/>
  <c r="AR441"/>
  <c r="AI12"/>
  <c r="N12"/>
  <c r="R12"/>
  <c r="AJ12"/>
  <c r="AC187"/>
  <c r="AE85"/>
  <c r="AF85"/>
  <c r="AC85"/>
  <c r="AD85"/>
  <c r="AQ44"/>
  <c r="AQ87"/>
  <c r="AQ419"/>
  <c r="AA87"/>
  <c r="AB44"/>
  <c r="AF117"/>
  <c r="AC117"/>
  <c r="AD117"/>
  <c r="AH247"/>
  <c r="AD247"/>
  <c r="AF247"/>
  <c r="AC247"/>
  <c r="AE77"/>
  <c r="AF77"/>
  <c r="AC77"/>
  <c r="AD77"/>
  <c r="AT42"/>
  <c r="AE157"/>
  <c r="AF157"/>
  <c r="AC157"/>
  <c r="AD157"/>
  <c r="AD232"/>
  <c r="AF308"/>
  <c r="AC308"/>
  <c r="AD308"/>
  <c r="AM406"/>
  <c r="AM407"/>
  <c r="AU229"/>
  <c r="AR343"/>
  <c r="AR344"/>
  <c r="AO273"/>
  <c r="Z313"/>
  <c r="AP301"/>
  <c r="AP313"/>
  <c r="AO301"/>
  <c r="AO313"/>
  <c r="AN401"/>
  <c r="AN407"/>
  <c r="Z363"/>
  <c r="AO357"/>
  <c r="AO363"/>
  <c r="AP357"/>
  <c r="AP363"/>
  <c r="AL363"/>
  <c r="AU357"/>
  <c r="AU363"/>
  <c r="AN357"/>
  <c r="AN363"/>
  <c r="AH132"/>
  <c r="AD132"/>
  <c r="AF132"/>
  <c r="AC132"/>
  <c r="AU42"/>
  <c r="AU418"/>
  <c r="AE317"/>
  <c r="AF317"/>
  <c r="AC317"/>
  <c r="AD317"/>
  <c r="AQ373"/>
  <c r="AQ377"/>
  <c r="AQ378"/>
  <c r="AA377"/>
  <c r="AA378"/>
  <c r="AB373"/>
  <c r="AU87"/>
  <c r="AU419"/>
  <c r="AF370"/>
  <c r="AB371"/>
  <c r="AH370"/>
  <c r="AH371"/>
  <c r="AH378"/>
  <c r="AH431"/>
  <c r="AR287"/>
  <c r="AR288"/>
  <c r="AR426"/>
  <c r="AE339"/>
  <c r="AF339"/>
  <c r="AC339"/>
  <c r="AD339"/>
  <c r="AN377"/>
  <c r="AL127"/>
  <c r="AS87"/>
  <c r="AN172"/>
  <c r="AN180"/>
  <c r="AN422"/>
  <c r="AE221"/>
  <c r="AF221"/>
  <c r="AC221"/>
  <c r="AD221"/>
  <c r="AU328"/>
  <c r="AL378"/>
  <c r="AL431"/>
  <c r="AE197"/>
  <c r="AF197"/>
  <c r="AC197"/>
  <c r="AD197"/>
  <c r="AN343"/>
  <c r="AN344"/>
  <c r="AN273"/>
  <c r="AM412"/>
  <c r="AE83"/>
  <c r="AF83"/>
  <c r="AC83"/>
  <c r="AD83"/>
  <c r="AL140"/>
  <c r="AL160"/>
  <c r="AN131"/>
  <c r="AN140"/>
  <c r="AU131"/>
  <c r="AP113"/>
  <c r="AN152"/>
  <c r="AB172"/>
  <c r="AF166"/>
  <c r="AU126"/>
  <c r="AB201"/>
  <c r="AB202"/>
  <c r="AB423"/>
  <c r="AE196"/>
  <c r="AQ331"/>
  <c r="AQ336"/>
  <c r="AA336"/>
  <c r="AB331"/>
  <c r="AB179"/>
  <c r="AT378"/>
  <c r="AT431"/>
  <c r="AM287"/>
  <c r="R321"/>
  <c r="AM343"/>
  <c r="AB382"/>
  <c r="AH381"/>
  <c r="AH382"/>
  <c r="AH396"/>
  <c r="AH432"/>
  <c r="AF381"/>
  <c r="Z382"/>
  <c r="Z396"/>
  <c r="AP381"/>
  <c r="AP382"/>
  <c r="AP396"/>
  <c r="AP432"/>
  <c r="AO381"/>
  <c r="AO382"/>
  <c r="AU320"/>
  <c r="AU412"/>
  <c r="AE438"/>
  <c r="AE420"/>
  <c r="AM320"/>
  <c r="AB401"/>
  <c r="AH399"/>
  <c r="AH401"/>
  <c r="AH407"/>
  <c r="AF399"/>
  <c r="AW434"/>
  <c r="AW443"/>
  <c r="AU185"/>
  <c r="AT237"/>
  <c r="AT242"/>
  <c r="AT425"/>
  <c r="AB406"/>
  <c r="AT353"/>
  <c r="AT355"/>
  <c r="AK355"/>
  <c r="AM353"/>
  <c r="AM355"/>
  <c r="AL355"/>
  <c r="AN353"/>
  <c r="AN355"/>
  <c r="AU353"/>
  <c r="AU355"/>
  <c r="AU367"/>
  <c r="AA287"/>
  <c r="AQ283"/>
  <c r="AQ287"/>
  <c r="AB283"/>
  <c r="AC330"/>
  <c r="AM180"/>
  <c r="AM422"/>
  <c r="AE240"/>
  <c r="AF240"/>
  <c r="AC240"/>
  <c r="AD240"/>
  <c r="AA320"/>
  <c r="AA321"/>
  <c r="AQ315"/>
  <c r="AQ320"/>
  <c r="AQ321"/>
  <c r="AQ427"/>
  <c r="AQ145"/>
  <c r="AQ152"/>
  <c r="AA152"/>
  <c r="AB145"/>
  <c r="AF192"/>
  <c r="AC192"/>
  <c r="AD192"/>
  <c r="AC142"/>
  <c r="AE177"/>
  <c r="AF177"/>
  <c r="AC177"/>
  <c r="AD177"/>
  <c r="AF239"/>
  <c r="AT205"/>
  <c r="AT207"/>
  <c r="AT224"/>
  <c r="AT424"/>
  <c r="AK207"/>
  <c r="AM205"/>
  <c r="AM207"/>
  <c r="AE276"/>
  <c r="AF276"/>
  <c r="AC276"/>
  <c r="AD276"/>
  <c r="AF391"/>
  <c r="AC391"/>
  <c r="AD391"/>
  <c r="AF270"/>
  <c r="AC270"/>
  <c r="AD270"/>
  <c r="AB313"/>
  <c r="AF301"/>
  <c r="AU401"/>
  <c r="AH434"/>
  <c r="AH443"/>
  <c r="AM357"/>
  <c r="AM363"/>
  <c r="AK363"/>
  <c r="AT357"/>
  <c r="AT363"/>
  <c r="AF209"/>
  <c r="AF144"/>
  <c r="AC144"/>
  <c r="AD144"/>
  <c r="AB152"/>
  <c r="AE275"/>
  <c r="AB281"/>
  <c r="AU378"/>
  <c r="AU431"/>
  <c r="AU273"/>
  <c r="AB447"/>
  <c r="AF17"/>
  <c r="AC17"/>
  <c r="AC447"/>
  <c r="AK420"/>
  <c r="AK438"/>
  <c r="AE71"/>
  <c r="AF71"/>
  <c r="AC71"/>
  <c r="AD71"/>
  <c r="AD183"/>
  <c r="AD185"/>
  <c r="AB348"/>
  <c r="AB429"/>
  <c r="AF347"/>
  <c r="AO291"/>
  <c r="AO299"/>
  <c r="Z299"/>
  <c r="Z321"/>
  <c r="AP291"/>
  <c r="AP299"/>
  <c r="AP321"/>
  <c r="AP427"/>
  <c r="AH98"/>
  <c r="AF98"/>
  <c r="AC98"/>
  <c r="AD98"/>
  <c r="AR159"/>
  <c r="AR160"/>
  <c r="AE158"/>
  <c r="AF158"/>
  <c r="AC158"/>
  <c r="AD158"/>
  <c r="AO407"/>
  <c r="AP378"/>
  <c r="AP431"/>
  <c r="AW400"/>
  <c r="AW401"/>
  <c r="AW407"/>
  <c r="AS441"/>
  <c r="AE86"/>
  <c r="AF86"/>
  <c r="AC86"/>
  <c r="AD86"/>
  <c r="AF120"/>
  <c r="AC120"/>
  <c r="AD120"/>
  <c r="AF303"/>
  <c r="AC303"/>
  <c r="AD303"/>
  <c r="AL242"/>
  <c r="AL425"/>
  <c r="AB241"/>
  <c r="AH205"/>
  <c r="AH207"/>
  <c r="AB207"/>
  <c r="AF205"/>
  <c r="Z242"/>
  <c r="AU301"/>
  <c r="AU313"/>
  <c r="AN301"/>
  <c r="AN313"/>
  <c r="AL313"/>
  <c r="AQ409"/>
  <c r="AQ412"/>
  <c r="AA412"/>
  <c r="AB409"/>
  <c r="AO209"/>
  <c r="AO216"/>
  <c r="AP209"/>
  <c r="AP216"/>
  <c r="Z216"/>
  <c r="AT152"/>
  <c r="AF312"/>
  <c r="AC312"/>
  <c r="AD312"/>
  <c r="AP194"/>
  <c r="AP202"/>
  <c r="AP423"/>
  <c r="AE222"/>
  <c r="AF222"/>
  <c r="AC222"/>
  <c r="AD222"/>
  <c r="AU343"/>
  <c r="AW446"/>
  <c r="AW140"/>
  <c r="AW160"/>
  <c r="AH103"/>
  <c r="AF103"/>
  <c r="AC103"/>
  <c r="AD103"/>
  <c r="AP406"/>
  <c r="AF174"/>
  <c r="AA223"/>
  <c r="AQ218"/>
  <c r="AQ223"/>
  <c r="AB218"/>
  <c r="AF376"/>
  <c r="AC376"/>
  <c r="AD376"/>
  <c r="AE319"/>
  <c r="AF319"/>
  <c r="AC319"/>
  <c r="AD319"/>
  <c r="AP401"/>
  <c r="AM392"/>
  <c r="AL180"/>
  <c r="AL422"/>
  <c r="AT267"/>
  <c r="AM237"/>
  <c r="AM242"/>
  <c r="AM425"/>
  <c r="AF111"/>
  <c r="AC111"/>
  <c r="AD111"/>
  <c r="AE78"/>
  <c r="AF78"/>
  <c r="AC78"/>
  <c r="AD78"/>
  <c r="AX38"/>
  <c r="BA38"/>
  <c r="AE38"/>
  <c r="AF38"/>
  <c r="AC38"/>
  <c r="AD38"/>
  <c r="AH91"/>
  <c r="AF91"/>
  <c r="AC91"/>
  <c r="AD91"/>
  <c r="AT172"/>
  <c r="AF272"/>
  <c r="AC272"/>
  <c r="AD272"/>
  <c r="AF191"/>
  <c r="AC191"/>
  <c r="AD191"/>
  <c r="AF374"/>
  <c r="AC374"/>
  <c r="AD374"/>
  <c r="AN267"/>
  <c r="AA126"/>
  <c r="AA127"/>
  <c r="AB115"/>
  <c r="AQ115"/>
  <c r="AQ126"/>
  <c r="AF233"/>
  <c r="AC233"/>
  <c r="AO344"/>
  <c r="AF150"/>
  <c r="AC150"/>
  <c r="AD150"/>
  <c r="Z207"/>
  <c r="AP205"/>
  <c r="AP207"/>
  <c r="AP224"/>
  <c r="AP424"/>
  <c r="AO205"/>
  <c r="AO207"/>
  <c r="AB229"/>
  <c r="AF227"/>
  <c r="AQ338"/>
  <c r="AQ343"/>
  <c r="AA343"/>
  <c r="AB338"/>
  <c r="AE342"/>
  <c r="AF342"/>
  <c r="AC342"/>
  <c r="AD342"/>
  <c r="AL433"/>
  <c r="AL442"/>
  <c r="AN392"/>
  <c r="AC90"/>
  <c r="AU237"/>
  <c r="AN87"/>
  <c r="AN419"/>
  <c r="AO194"/>
  <c r="AO202"/>
  <c r="AO423"/>
  <c r="AU406"/>
  <c r="AK407"/>
  <c r="AF189"/>
  <c r="AC189"/>
  <c r="AD189"/>
  <c r="AE279"/>
  <c r="AF279"/>
  <c r="AC279"/>
  <c r="AD279"/>
  <c r="AR320"/>
  <c r="AR321"/>
  <c r="AR427"/>
  <c r="AU113"/>
  <c r="AQ127"/>
  <c r="W413"/>
  <c r="AU172"/>
  <c r="AQ433"/>
  <c r="AQ442"/>
  <c r="AO336"/>
  <c r="AM223"/>
  <c r="AL344"/>
  <c r="AN378"/>
  <c r="AN431"/>
  <c r="AK443"/>
  <c r="AK434"/>
  <c r="AA395"/>
  <c r="AA396"/>
  <c r="AQ394"/>
  <c r="AQ395"/>
  <c r="AQ396"/>
  <c r="AQ432"/>
  <c r="AB164"/>
  <c r="AH163"/>
  <c r="AH164"/>
  <c r="AH180"/>
  <c r="AH422"/>
  <c r="AF163"/>
  <c r="AP126"/>
  <c r="Z140"/>
  <c r="Z160"/>
  <c r="AP131"/>
  <c r="AP140"/>
  <c r="AO131"/>
  <c r="AO140"/>
  <c r="AE84"/>
  <c r="AF84"/>
  <c r="AC84"/>
  <c r="AD84"/>
  <c r="AA210"/>
  <c r="AH216"/>
  <c r="AT126"/>
  <c r="AW115"/>
  <c r="AU152"/>
  <c r="AB159"/>
  <c r="AE154"/>
  <c r="AT179"/>
  <c r="AB237"/>
  <c r="AU159"/>
  <c r="AE72"/>
  <c r="AF72"/>
  <c r="AC72"/>
  <c r="AD72"/>
  <c r="AN126"/>
  <c r="AN127"/>
  <c r="AS201"/>
  <c r="AS202"/>
  <c r="AS423"/>
  <c r="AU336"/>
  <c r="AK378"/>
  <c r="AK431"/>
  <c r="AE155"/>
  <c r="AF155"/>
  <c r="AC155"/>
  <c r="AD155"/>
  <c r="Z258"/>
  <c r="Z288"/>
  <c r="AP245"/>
  <c r="AP258"/>
  <c r="AP288"/>
  <c r="AP426"/>
  <c r="AO245"/>
  <c r="AO258"/>
  <c r="AT287"/>
  <c r="AK299"/>
  <c r="AM291"/>
  <c r="AM299"/>
  <c r="AT291"/>
  <c r="AT299"/>
  <c r="AT321"/>
  <c r="AT427"/>
  <c r="AB291"/>
  <c r="AT343"/>
  <c r="AL382"/>
  <c r="AL396"/>
  <c r="AL432"/>
  <c r="AU381"/>
  <c r="AU382"/>
  <c r="AN381"/>
  <c r="AN382"/>
  <c r="AN396"/>
  <c r="AN432"/>
  <c r="AT273"/>
  <c r="AN320"/>
  <c r="AO180"/>
  <c r="AO422"/>
  <c r="AH437"/>
  <c r="AQ196"/>
  <c r="AQ201"/>
  <c r="AQ202"/>
  <c r="AQ423"/>
  <c r="AA201"/>
  <c r="AA202"/>
  <c r="Z407"/>
  <c r="AQ154"/>
  <c r="AQ159"/>
  <c r="AA159"/>
  <c r="AT185"/>
  <c r="AN185"/>
  <c r="AN202"/>
  <c r="AN423"/>
  <c r="AO378"/>
  <c r="AO431"/>
  <c r="AF146"/>
  <c r="AC146"/>
  <c r="AD146"/>
  <c r="AA328"/>
  <c r="AA344"/>
  <c r="AA349"/>
  <c r="AQ325"/>
  <c r="AQ328"/>
  <c r="AB325"/>
  <c r="AP412"/>
  <c r="AG439"/>
  <c r="AG444"/>
  <c r="AF234"/>
  <c r="AC234"/>
  <c r="AD234"/>
  <c r="AJ439"/>
  <c r="AC411"/>
  <c r="AD411"/>
  <c r="W413" i="41"/>
  <c r="AF140"/>
  <c r="AT160"/>
  <c r="AT421"/>
  <c r="AT451"/>
  <c r="AT180"/>
  <c r="AT422"/>
  <c r="AU180"/>
  <c r="AU422"/>
  <c r="AQ160"/>
  <c r="AQ421"/>
  <c r="AM160"/>
  <c r="AM421"/>
  <c r="AM224"/>
  <c r="AM424"/>
  <c r="AO127"/>
  <c r="AO438"/>
  <c r="AP180"/>
  <c r="AP422"/>
  <c r="AT344" i="21"/>
  <c r="AW349"/>
  <c r="AW440"/>
  <c r="AB392"/>
  <c r="AO160"/>
  <c r="AO396"/>
  <c r="AO432"/>
  <c r="AN321"/>
  <c r="AN427"/>
  <c r="AE365"/>
  <c r="AB366"/>
  <c r="AK321"/>
  <c r="AK427"/>
  <c r="AU180"/>
  <c r="AU422"/>
  <c r="AO321"/>
  <c r="AO427"/>
  <c r="AD17"/>
  <c r="AE241"/>
  <c r="AE242"/>
  <c r="AE425"/>
  <c r="AU202"/>
  <c r="AU423"/>
  <c r="AW367"/>
  <c r="AB452"/>
  <c r="AT202"/>
  <c r="AT423"/>
  <c r="AO224"/>
  <c r="AO424"/>
  <c r="AN224"/>
  <c r="AN424"/>
  <c r="AW321"/>
  <c r="AW427"/>
  <c r="AP160"/>
  <c r="AP421"/>
  <c r="AE179"/>
  <c r="AE180"/>
  <c r="AE422"/>
  <c r="AH224"/>
  <c r="AH424"/>
  <c r="AC384"/>
  <c r="AB396"/>
  <c r="AB432"/>
  <c r="AM160"/>
  <c r="AT451"/>
  <c r="AN367"/>
  <c r="AN430"/>
  <c r="AT367"/>
  <c r="AT441"/>
  <c r="AN160"/>
  <c r="AN421"/>
  <c r="AM127"/>
  <c r="AL224"/>
  <c r="AL424"/>
  <c r="AW224"/>
  <c r="AW424"/>
  <c r="AT127"/>
  <c r="AT438"/>
  <c r="AX42"/>
  <c r="BA34"/>
  <c r="AW126"/>
  <c r="AW450"/>
  <c r="AY115"/>
  <c r="AC237"/>
  <c r="AT180"/>
  <c r="AT422"/>
  <c r="AF267"/>
  <c r="AB242"/>
  <c r="AB425"/>
  <c r="AH113"/>
  <c r="AH127"/>
  <c r="AC267"/>
  <c r="AB418"/>
  <c r="AU452"/>
  <c r="AF237"/>
  <c r="AW449"/>
  <c r="AQ437"/>
  <c r="R28" i="42"/>
  <c r="S28"/>
  <c r="J17"/>
  <c r="J13"/>
  <c r="J8"/>
  <c r="J4"/>
  <c r="AN421" i="41"/>
  <c r="AH421"/>
  <c r="AU428"/>
  <c r="AU349"/>
  <c r="AU440"/>
  <c r="AN428"/>
  <c r="AN349"/>
  <c r="AN440"/>
  <c r="AH442"/>
  <c r="AH433"/>
  <c r="AB421"/>
  <c r="AI19"/>
  <c r="AP433"/>
  <c r="AP442"/>
  <c r="AK180"/>
  <c r="AT127"/>
  <c r="AF207"/>
  <c r="AU451"/>
  <c r="AN180"/>
  <c r="AN422"/>
  <c r="AO428"/>
  <c r="AO349"/>
  <c r="AO440"/>
  <c r="AL428"/>
  <c r="AL349"/>
  <c r="AL440"/>
  <c r="AF355"/>
  <c r="AF367"/>
  <c r="AC353"/>
  <c r="AK441"/>
  <c r="AK430"/>
  <c r="AH216"/>
  <c r="AA209"/>
  <c r="AK13"/>
  <c r="Z13"/>
  <c r="AW13"/>
  <c r="AL13"/>
  <c r="AD334"/>
  <c r="AF334"/>
  <c r="AC334"/>
  <c r="AM438"/>
  <c r="AM420"/>
  <c r="AP438"/>
  <c r="AP420"/>
  <c r="AO224"/>
  <c r="AO424"/>
  <c r="AC140"/>
  <c r="AD131"/>
  <c r="AD140"/>
  <c r="AD143"/>
  <c r="AF143"/>
  <c r="AC143"/>
  <c r="AL258"/>
  <c r="AL288"/>
  <c r="AL426"/>
  <c r="AU245"/>
  <c r="AN245"/>
  <c r="AN258"/>
  <c r="AN288"/>
  <c r="AN426"/>
  <c r="AQ174"/>
  <c r="AQ179"/>
  <c r="AA179"/>
  <c r="AA180"/>
  <c r="AD269"/>
  <c r="AB348"/>
  <c r="AB429"/>
  <c r="AF347"/>
  <c r="AJ21"/>
  <c r="AJ27"/>
  <c r="AJ416"/>
  <c r="R21"/>
  <c r="G27"/>
  <c r="G413"/>
  <c r="AI21"/>
  <c r="AI27"/>
  <c r="AI416"/>
  <c r="N21"/>
  <c r="N27"/>
  <c r="AQ403"/>
  <c r="AQ406"/>
  <c r="AQ407"/>
  <c r="AA406"/>
  <c r="AA407"/>
  <c r="AB403"/>
  <c r="AH428"/>
  <c r="AH349"/>
  <c r="AH440"/>
  <c r="AP301"/>
  <c r="AP313"/>
  <c r="AP321"/>
  <c r="AO301"/>
  <c r="AO313"/>
  <c r="Z313"/>
  <c r="Z321"/>
  <c r="AS435"/>
  <c r="AL441"/>
  <c r="AL430"/>
  <c r="AB336"/>
  <c r="AF330"/>
  <c r="AE283"/>
  <c r="AB287"/>
  <c r="AF118"/>
  <c r="AC118"/>
  <c r="AD118"/>
  <c r="AE34"/>
  <c r="AX34"/>
  <c r="AX42"/>
  <c r="AB42"/>
  <c r="AB418"/>
  <c r="AM245"/>
  <c r="AM258"/>
  <c r="AM288"/>
  <c r="AM426"/>
  <c r="AK258"/>
  <c r="AK288"/>
  <c r="AK426"/>
  <c r="AT245"/>
  <c r="AO442"/>
  <c r="AO433"/>
  <c r="AC400"/>
  <c r="AF401"/>
  <c r="AQ126"/>
  <c r="AB267"/>
  <c r="AF260"/>
  <c r="AE44"/>
  <c r="AB87"/>
  <c r="AX44"/>
  <c r="AL16"/>
  <c r="AK16"/>
  <c r="AB16"/>
  <c r="AW16"/>
  <c r="AF396"/>
  <c r="AF432"/>
  <c r="AS439"/>
  <c r="AS421"/>
  <c r="AS413"/>
  <c r="AO441"/>
  <c r="AO430"/>
  <c r="AE159"/>
  <c r="AE160"/>
  <c r="AF154"/>
  <c r="AB32"/>
  <c r="AB417"/>
  <c r="AX29"/>
  <c r="AE29"/>
  <c r="AD311"/>
  <c r="AF311"/>
  <c r="AC311"/>
  <c r="AF339"/>
  <c r="AE343"/>
  <c r="AE344"/>
  <c r="AT428"/>
  <c r="AT349"/>
  <c r="AT440"/>
  <c r="AH301"/>
  <c r="AH313"/>
  <c r="AP428"/>
  <c r="AP349"/>
  <c r="AP440"/>
  <c r="AH441"/>
  <c r="AO420"/>
  <c r="AU441"/>
  <c r="AU430"/>
  <c r="AQ270"/>
  <c r="AQ273"/>
  <c r="AB270"/>
  <c r="AA273"/>
  <c r="AC90"/>
  <c r="AF185"/>
  <c r="AC183"/>
  <c r="AB328"/>
  <c r="AF325"/>
  <c r="AB441"/>
  <c r="AB430"/>
  <c r="AT441"/>
  <c r="AT430"/>
  <c r="AU160"/>
  <c r="AI14"/>
  <c r="N14"/>
  <c r="N19"/>
  <c r="N413"/>
  <c r="AJ14"/>
  <c r="AJ19"/>
  <c r="AO321"/>
  <c r="AO427"/>
  <c r="AM428"/>
  <c r="AM349"/>
  <c r="AM440"/>
  <c r="AF245"/>
  <c r="AP245"/>
  <c r="AP258"/>
  <c r="AP288"/>
  <c r="AP426"/>
  <c r="Z258"/>
  <c r="Z288"/>
  <c r="AO245"/>
  <c r="AO258"/>
  <c r="AO288"/>
  <c r="AO426"/>
  <c r="AR439"/>
  <c r="AR444"/>
  <c r="AR421"/>
  <c r="AR435"/>
  <c r="AR413"/>
  <c r="AQ231"/>
  <c r="AQ237"/>
  <c r="AQ242"/>
  <c r="AQ425"/>
  <c r="AA237"/>
  <c r="AA242"/>
  <c r="AB231"/>
  <c r="AW441"/>
  <c r="AW430"/>
  <c r="AP421"/>
  <c r="AQ180"/>
  <c r="AQ422"/>
  <c r="AL12"/>
  <c r="AK12"/>
  <c r="Z12"/>
  <c r="AW12"/>
  <c r="AB164"/>
  <c r="AF163"/>
  <c r="AH163"/>
  <c r="AH164"/>
  <c r="AH180"/>
  <c r="AH422"/>
  <c r="AC366"/>
  <c r="AD365"/>
  <c r="AD366"/>
  <c r="AC207"/>
  <c r="AD205"/>
  <c r="AD207"/>
  <c r="AF232"/>
  <c r="AC232"/>
  <c r="AD232"/>
  <c r="AH443"/>
  <c r="AH434"/>
  <c r="AU127"/>
  <c r="AM430"/>
  <c r="AM441"/>
  <c r="AM442"/>
  <c r="AM433"/>
  <c r="AB241"/>
  <c r="AE239"/>
  <c r="AU418"/>
  <c r="AU452"/>
  <c r="AT442"/>
  <c r="AT433"/>
  <c r="AQ416"/>
  <c r="AQ437"/>
  <c r="AC388"/>
  <c r="AF392"/>
  <c r="AH224"/>
  <c r="AH424"/>
  <c r="AP441"/>
  <c r="AP430"/>
  <c r="AE315"/>
  <c r="AB320"/>
  <c r="AH291"/>
  <c r="AH299"/>
  <c r="AH321"/>
  <c r="AH427"/>
  <c r="AB299"/>
  <c r="AF291"/>
  <c r="AB301"/>
  <c r="AK313"/>
  <c r="AK321"/>
  <c r="AK427"/>
  <c r="AT301"/>
  <c r="AT313"/>
  <c r="AT321"/>
  <c r="AT427"/>
  <c r="AM301"/>
  <c r="AM313"/>
  <c r="AM321"/>
  <c r="AM427"/>
  <c r="AT224"/>
  <c r="AT424"/>
  <c r="AC395"/>
  <c r="AD394"/>
  <c r="AD395"/>
  <c r="AB371"/>
  <c r="AB378"/>
  <c r="AB431"/>
  <c r="AF370"/>
  <c r="AB172"/>
  <c r="AF166"/>
  <c r="AC363"/>
  <c r="AD357"/>
  <c r="AD363"/>
  <c r="AF215"/>
  <c r="AC215"/>
  <c r="AD215"/>
  <c r="AU301"/>
  <c r="AU313"/>
  <c r="AU450"/>
  <c r="AN301"/>
  <c r="AN313"/>
  <c r="AN321"/>
  <c r="AN427"/>
  <c r="AL313"/>
  <c r="AL321"/>
  <c r="AF122"/>
  <c r="AC122"/>
  <c r="AD122"/>
  <c r="AD338"/>
  <c r="AS444"/>
  <c r="AQ441"/>
  <c r="AN441"/>
  <c r="AN430"/>
  <c r="AA412"/>
  <c r="AQ409"/>
  <c r="AQ412"/>
  <c r="AB409"/>
  <c r="AF196"/>
  <c r="AE201"/>
  <c r="AE202"/>
  <c r="AE423"/>
  <c r="AC218"/>
  <c r="AF223"/>
  <c r="AQ344"/>
  <c r="AF152"/>
  <c r="AC142"/>
  <c r="AU321"/>
  <c r="AU427"/>
  <c r="AE275"/>
  <c r="AB174"/>
  <c r="AA194"/>
  <c r="AA202"/>
  <c r="AQ187"/>
  <c r="AQ194"/>
  <c r="AQ202"/>
  <c r="AQ423"/>
  <c r="AB187"/>
  <c r="AF190"/>
  <c r="AC190"/>
  <c r="AD190"/>
  <c r="AW127"/>
  <c r="AW450"/>
  <c r="R19" i="42"/>
  <c r="AW258" i="41"/>
  <c r="AW446"/>
  <c r="AN127"/>
  <c r="AE22"/>
  <c r="AF22"/>
  <c r="AC22"/>
  <c r="AX22"/>
  <c r="AB452"/>
  <c r="AO160"/>
  <c r="AB126"/>
  <c r="AF115"/>
  <c r="AL421"/>
  <c r="AC382"/>
  <c r="AD381"/>
  <c r="AD382"/>
  <c r="AF377"/>
  <c r="AC373"/>
  <c r="AH438" i="21"/>
  <c r="AH420"/>
  <c r="AM433"/>
  <c r="AM442"/>
  <c r="AT428"/>
  <c r="AT349"/>
  <c r="AT440"/>
  <c r="AM438"/>
  <c r="AM420"/>
  <c r="AQ160"/>
  <c r="AN441"/>
  <c r="AF371"/>
  <c r="AC370"/>
  <c r="AJ13"/>
  <c r="R13"/>
  <c r="AI13"/>
  <c r="N13"/>
  <c r="AW421"/>
  <c r="AW433"/>
  <c r="AW442"/>
  <c r="AN438"/>
  <c r="AN420"/>
  <c r="AM224"/>
  <c r="AM424"/>
  <c r="AC239"/>
  <c r="AF241"/>
  <c r="AL367"/>
  <c r="AC381"/>
  <c r="AF382"/>
  <c r="AL421"/>
  <c r="AM443"/>
  <c r="AM434"/>
  <c r="AQ431"/>
  <c r="AQ441"/>
  <c r="AR349"/>
  <c r="AR440"/>
  <c r="AR428"/>
  <c r="AF194"/>
  <c r="G19"/>
  <c r="AF406"/>
  <c r="AT446"/>
  <c r="AT140"/>
  <c r="AB273"/>
  <c r="AF269"/>
  <c r="AC357"/>
  <c r="AF363"/>
  <c r="AU224"/>
  <c r="AU424"/>
  <c r="Z367"/>
  <c r="AU321"/>
  <c r="AU427"/>
  <c r="AH140"/>
  <c r="AH160"/>
  <c r="AC245"/>
  <c r="AF258"/>
  <c r="AE395"/>
  <c r="AE396"/>
  <c r="AE432"/>
  <c r="AF394"/>
  <c r="AU127"/>
  <c r="AF229"/>
  <c r="AC227"/>
  <c r="AO428"/>
  <c r="AO349"/>
  <c r="AO440"/>
  <c r="AE218"/>
  <c r="AB223"/>
  <c r="AB287"/>
  <c r="AE283"/>
  <c r="AF401"/>
  <c r="AF407"/>
  <c r="AC399"/>
  <c r="AU450"/>
  <c r="AC194"/>
  <c r="AD187"/>
  <c r="AD194"/>
  <c r="AO438"/>
  <c r="AO420"/>
  <c r="AE29"/>
  <c r="AB32"/>
  <c r="AB417"/>
  <c r="AX29"/>
  <c r="AB160"/>
  <c r="AH258"/>
  <c r="AH288"/>
  <c r="AH426"/>
  <c r="AM349"/>
  <c r="AM440"/>
  <c r="AM428"/>
  <c r="AF291"/>
  <c r="AB299"/>
  <c r="AH291"/>
  <c r="AH299"/>
  <c r="AH321"/>
  <c r="AH427"/>
  <c r="AT450"/>
  <c r="AB328"/>
  <c r="AF325"/>
  <c r="AU396"/>
  <c r="AU432"/>
  <c r="AO288"/>
  <c r="AO426"/>
  <c r="AO421"/>
  <c r="AB180"/>
  <c r="AB422"/>
  <c r="AK433"/>
  <c r="AK442"/>
  <c r="AF113"/>
  <c r="AD233"/>
  <c r="AD237"/>
  <c r="AP407"/>
  <c r="AC205"/>
  <c r="AF207"/>
  <c r="AR439"/>
  <c r="AR421"/>
  <c r="AC209"/>
  <c r="AU407"/>
  <c r="AK224"/>
  <c r="AK424"/>
  <c r="AD142"/>
  <c r="AF145"/>
  <c r="AD330"/>
  <c r="AM367"/>
  <c r="AH433"/>
  <c r="AH442"/>
  <c r="AF331"/>
  <c r="AB336"/>
  <c r="AE201"/>
  <c r="AE202"/>
  <c r="AE423"/>
  <c r="AF196"/>
  <c r="AF172"/>
  <c r="AC166"/>
  <c r="AP127"/>
  <c r="AJ16"/>
  <c r="AI16"/>
  <c r="N16"/>
  <c r="R16"/>
  <c r="AB355"/>
  <c r="AH353"/>
  <c r="AH355"/>
  <c r="AH367"/>
  <c r="AF353"/>
  <c r="AC406"/>
  <c r="AD403"/>
  <c r="AD406"/>
  <c r="AS421"/>
  <c r="AS439"/>
  <c r="AM421"/>
  <c r="AQ288"/>
  <c r="AQ426"/>
  <c r="AR413"/>
  <c r="AP367"/>
  <c r="AM396"/>
  <c r="AM432"/>
  <c r="AU288"/>
  <c r="AU426"/>
  <c r="AF140"/>
  <c r="AC131"/>
  <c r="AE42"/>
  <c r="AE418"/>
  <c r="AF34"/>
  <c r="AE320"/>
  <c r="AE321"/>
  <c r="AE427"/>
  <c r="AF315"/>
  <c r="AP434"/>
  <c r="AP443"/>
  <c r="AL428"/>
  <c r="AL349"/>
  <c r="AL440"/>
  <c r="AB126"/>
  <c r="AF115"/>
  <c r="AU443"/>
  <c r="AU434"/>
  <c r="AL438"/>
  <c r="AL420"/>
  <c r="AN442"/>
  <c r="AN433"/>
  <c r="AT288"/>
  <c r="AT426"/>
  <c r="AT434"/>
  <c r="AT443"/>
  <c r="AO441"/>
  <c r="AO430"/>
  <c r="AN428"/>
  <c r="AN349"/>
  <c r="AN440"/>
  <c r="AT420"/>
  <c r="AU451"/>
  <c r="AE159"/>
  <c r="AE160"/>
  <c r="AF154"/>
  <c r="AC113"/>
  <c r="AD90"/>
  <c r="AD113"/>
  <c r="AB343"/>
  <c r="AE338"/>
  <c r="Z224"/>
  <c r="AQ443"/>
  <c r="AQ434"/>
  <c r="AQ344"/>
  <c r="AM321"/>
  <c r="AM427"/>
  <c r="AA216"/>
  <c r="AA224"/>
  <c r="AQ210"/>
  <c r="AQ216"/>
  <c r="AQ224"/>
  <c r="AQ424"/>
  <c r="AB210"/>
  <c r="AP439"/>
  <c r="AF164"/>
  <c r="AC163"/>
  <c r="AQ420"/>
  <c r="AQ438"/>
  <c r="AC174"/>
  <c r="AF179"/>
  <c r="AB412"/>
  <c r="AF409"/>
  <c r="AC392"/>
  <c r="AD384"/>
  <c r="AD392"/>
  <c r="AO442"/>
  <c r="AO433"/>
  <c r="AF348"/>
  <c r="AF429"/>
  <c r="AC347"/>
  <c r="AF275"/>
  <c r="AE281"/>
  <c r="AC301"/>
  <c r="AF313"/>
  <c r="AA160"/>
  <c r="AU430"/>
  <c r="AK367"/>
  <c r="AB407"/>
  <c r="AU446"/>
  <c r="AU140"/>
  <c r="AU160"/>
  <c r="AU344"/>
  <c r="AS419"/>
  <c r="AS437"/>
  <c r="AS413"/>
  <c r="AB377"/>
  <c r="AB378"/>
  <c r="AB431"/>
  <c r="AF373"/>
  <c r="AU242"/>
  <c r="AU425"/>
  <c r="AT418"/>
  <c r="AT452"/>
  <c r="AE44"/>
  <c r="AB87"/>
  <c r="AX44"/>
  <c r="AL12"/>
  <c r="AK12"/>
  <c r="Z12"/>
  <c r="AB12"/>
  <c r="AW12"/>
  <c r="AY12"/>
  <c r="AM288"/>
  <c r="AM426"/>
  <c r="AK439"/>
  <c r="AK421"/>
  <c r="AA288"/>
  <c r="AR444"/>
  <c r="AP428"/>
  <c r="AP349"/>
  <c r="AP440"/>
  <c r="AH428"/>
  <c r="AH349"/>
  <c r="AH440"/>
  <c r="AL321"/>
  <c r="AL427"/>
  <c r="AN288"/>
  <c r="AN426"/>
  <c r="AB446"/>
  <c r="AF124"/>
  <c r="AC124"/>
  <c r="AD124"/>
  <c r="S19" i="42"/>
  <c r="AW453" i="21"/>
  <c r="AX452" i="41"/>
  <c r="AX27"/>
  <c r="AX87"/>
  <c r="AX448"/>
  <c r="AR435" i="21"/>
  <c r="AB288"/>
  <c r="AB426"/>
  <c r="AW439"/>
  <c r="AL439"/>
  <c r="AT430"/>
  <c r="AU441"/>
  <c r="AB367"/>
  <c r="AB430"/>
  <c r="AX452"/>
  <c r="BA29"/>
  <c r="AX32"/>
  <c r="AW441"/>
  <c r="AW430"/>
  <c r="AF365"/>
  <c r="AE366"/>
  <c r="AE367"/>
  <c r="AE430"/>
  <c r="BA44"/>
  <c r="AX87"/>
  <c r="AW127"/>
  <c r="AS435"/>
  <c r="AA413"/>
  <c r="AH413"/>
  <c r="AS444"/>
  <c r="AO439"/>
  <c r="Q25" i="42"/>
  <c r="S25"/>
  <c r="K17"/>
  <c r="K13"/>
  <c r="Q13"/>
  <c r="K8"/>
  <c r="K4"/>
  <c r="AP427" i="41"/>
  <c r="AP439"/>
  <c r="AL427"/>
  <c r="AL439"/>
  <c r="AC152"/>
  <c r="AD142"/>
  <c r="AD152"/>
  <c r="AF164"/>
  <c r="AC163"/>
  <c r="AJ437"/>
  <c r="AJ444"/>
  <c r="AJ415"/>
  <c r="AJ435"/>
  <c r="AJ413"/>
  <c r="AF239"/>
  <c r="AE241"/>
  <c r="AE242"/>
  <c r="AE425"/>
  <c r="AE428"/>
  <c r="AE349"/>
  <c r="AE440"/>
  <c r="AE32"/>
  <c r="AE417"/>
  <c r="AF29"/>
  <c r="AF159"/>
  <c r="AF160"/>
  <c r="AC154"/>
  <c r="AU16"/>
  <c r="AN16"/>
  <c r="AE87"/>
  <c r="AE419"/>
  <c r="AF44"/>
  <c r="AE42"/>
  <c r="AE418"/>
  <c r="AF34"/>
  <c r="AQ442"/>
  <c r="AQ433"/>
  <c r="AW21"/>
  <c r="AW27"/>
  <c r="AW416"/>
  <c r="AL21"/>
  <c r="AK21"/>
  <c r="R27"/>
  <c r="AB21"/>
  <c r="AU258"/>
  <c r="AU446"/>
  <c r="AN13"/>
  <c r="AU13"/>
  <c r="AM13"/>
  <c r="AT13"/>
  <c r="AU421"/>
  <c r="AC185"/>
  <c r="AD183"/>
  <c r="AD185"/>
  <c r="AM16"/>
  <c r="AT16"/>
  <c r="AO13"/>
  <c r="AP13"/>
  <c r="AN420"/>
  <c r="AN438"/>
  <c r="AW438"/>
  <c r="AW420"/>
  <c r="AE174"/>
  <c r="AB179"/>
  <c r="AB451"/>
  <c r="AF371"/>
  <c r="AF378"/>
  <c r="AF431"/>
  <c r="AC370"/>
  <c r="AE320"/>
  <c r="AE321"/>
  <c r="AE427"/>
  <c r="AF315"/>
  <c r="AT450"/>
  <c r="AT12"/>
  <c r="AM12"/>
  <c r="AF328"/>
  <c r="AC325"/>
  <c r="AQ428"/>
  <c r="AQ349"/>
  <c r="AQ440"/>
  <c r="AB412"/>
  <c r="AF409"/>
  <c r="AE421"/>
  <c r="AW448"/>
  <c r="R10" i="42"/>
  <c r="S10"/>
  <c r="AC260" i="41"/>
  <c r="AF267"/>
  <c r="AT258"/>
  <c r="AT446"/>
  <c r="AO439"/>
  <c r="AO421"/>
  <c r="AB194"/>
  <c r="AB202"/>
  <c r="AB423"/>
  <c r="AF187"/>
  <c r="AF275"/>
  <c r="AU438"/>
  <c r="AU420"/>
  <c r="AP12"/>
  <c r="AO12"/>
  <c r="AN12"/>
  <c r="AU12"/>
  <c r="AB419"/>
  <c r="AF336"/>
  <c r="AC330"/>
  <c r="AC347"/>
  <c r="AF348"/>
  <c r="AF429"/>
  <c r="AF441"/>
  <c r="AF430"/>
  <c r="AK422"/>
  <c r="AK439"/>
  <c r="AF126"/>
  <c r="AC115"/>
  <c r="AC196"/>
  <c r="AF201"/>
  <c r="AF270"/>
  <c r="AB273"/>
  <c r="AC166"/>
  <c r="AF172"/>
  <c r="AB180"/>
  <c r="R14"/>
  <c r="AB344"/>
  <c r="AD90"/>
  <c r="AC339"/>
  <c r="AF343"/>
  <c r="AE287"/>
  <c r="AF283"/>
  <c r="AB13"/>
  <c r="AA216"/>
  <c r="AA224"/>
  <c r="AQ209"/>
  <c r="AQ216"/>
  <c r="AQ224"/>
  <c r="AQ424"/>
  <c r="AB209"/>
  <c r="AT438"/>
  <c r="AT420"/>
  <c r="AI413"/>
  <c r="AI437"/>
  <c r="AI444"/>
  <c r="AI415"/>
  <c r="AI435"/>
  <c r="AC377"/>
  <c r="AD373"/>
  <c r="AD377"/>
  <c r="AD22"/>
  <c r="AW288"/>
  <c r="AW413"/>
  <c r="AW449"/>
  <c r="AW453"/>
  <c r="AC223"/>
  <c r="AD218"/>
  <c r="AD223"/>
  <c r="AQ434"/>
  <c r="AQ443"/>
  <c r="AB313"/>
  <c r="AB321"/>
  <c r="AB427"/>
  <c r="AF301"/>
  <c r="AF299"/>
  <c r="AC291"/>
  <c r="AC392"/>
  <c r="AC432"/>
  <c r="AD388"/>
  <c r="AD392"/>
  <c r="AD396"/>
  <c r="AD432"/>
  <c r="AB12"/>
  <c r="AF231"/>
  <c r="AB237"/>
  <c r="AB242"/>
  <c r="AB425"/>
  <c r="AM439"/>
  <c r="AC245"/>
  <c r="AB448"/>
  <c r="AE16"/>
  <c r="AF16"/>
  <c r="AC16"/>
  <c r="AC401"/>
  <c r="AD400"/>
  <c r="AD401"/>
  <c r="AB406"/>
  <c r="AB407"/>
  <c r="AF403"/>
  <c r="AC355"/>
  <c r="AC367"/>
  <c r="AD353"/>
  <c r="AD355"/>
  <c r="AD367"/>
  <c r="AN439"/>
  <c r="AD12" i="21"/>
  <c r="AC275"/>
  <c r="AF281"/>
  <c r="AF210"/>
  <c r="AB216"/>
  <c r="AB224"/>
  <c r="AB424"/>
  <c r="AQ428"/>
  <c r="AQ349"/>
  <c r="AQ440"/>
  <c r="AF320"/>
  <c r="AC315"/>
  <c r="AC331"/>
  <c r="AF336"/>
  <c r="AU438"/>
  <c r="AU420"/>
  <c r="AT160"/>
  <c r="AT449"/>
  <c r="AC371"/>
  <c r="AD370"/>
  <c r="AD371"/>
  <c r="AW438"/>
  <c r="AW420"/>
  <c r="AB419"/>
  <c r="AU428"/>
  <c r="AU349"/>
  <c r="AU440"/>
  <c r="AK441"/>
  <c r="AK430"/>
  <c r="AC348"/>
  <c r="AC429"/>
  <c r="AD347"/>
  <c r="AD348"/>
  <c r="AD429"/>
  <c r="AB443"/>
  <c r="AB434"/>
  <c r="AC179"/>
  <c r="AD174"/>
  <c r="AD179"/>
  <c r="AF180"/>
  <c r="AF422"/>
  <c r="AF338"/>
  <c r="AE343"/>
  <c r="AE344"/>
  <c r="AF159"/>
  <c r="AC154"/>
  <c r="AC115"/>
  <c r="AF126"/>
  <c r="AF127"/>
  <c r="AC140"/>
  <c r="AD131"/>
  <c r="AD140"/>
  <c r="AP430"/>
  <c r="AP441"/>
  <c r="AM439"/>
  <c r="AB441"/>
  <c r="AW16"/>
  <c r="AL16"/>
  <c r="AB16"/>
  <c r="AK16"/>
  <c r="AP438"/>
  <c r="AP420"/>
  <c r="AB451"/>
  <c r="AB344"/>
  <c r="AE32"/>
  <c r="AE417"/>
  <c r="AF29"/>
  <c r="AU449"/>
  <c r="AC258"/>
  <c r="AD245"/>
  <c r="AD258"/>
  <c r="AF273"/>
  <c r="AC269"/>
  <c r="AC241"/>
  <c r="AD239"/>
  <c r="AD241"/>
  <c r="AE441"/>
  <c r="AL13"/>
  <c r="AW13"/>
  <c r="AK13"/>
  <c r="Z13"/>
  <c r="AF412"/>
  <c r="AC409"/>
  <c r="AC164"/>
  <c r="AD163"/>
  <c r="AD164"/>
  <c r="AH441"/>
  <c r="AH430"/>
  <c r="AF201"/>
  <c r="AC196"/>
  <c r="AD209"/>
  <c r="AP442"/>
  <c r="AP433"/>
  <c r="AC325"/>
  <c r="AF328"/>
  <c r="AC291"/>
  <c r="AF299"/>
  <c r="AF321"/>
  <c r="AF427"/>
  <c r="AB421"/>
  <c r="AC363"/>
  <c r="AD357"/>
  <c r="AD363"/>
  <c r="AF202"/>
  <c r="AF423"/>
  <c r="AU12"/>
  <c r="AN12"/>
  <c r="AF44"/>
  <c r="AE87"/>
  <c r="AE419"/>
  <c r="AU439"/>
  <c r="AU421"/>
  <c r="AC313"/>
  <c r="AD301"/>
  <c r="AD313"/>
  <c r="AE421"/>
  <c r="AB127"/>
  <c r="AF355"/>
  <c r="AC353"/>
  <c r="AI21"/>
  <c r="AI27"/>
  <c r="AI416"/>
  <c r="N21"/>
  <c r="N27"/>
  <c r="AJ21"/>
  <c r="AJ27"/>
  <c r="AJ416"/>
  <c r="R21"/>
  <c r="G27"/>
  <c r="AC172"/>
  <c r="AD166"/>
  <c r="AD172"/>
  <c r="AC145"/>
  <c r="AF152"/>
  <c r="AF160"/>
  <c r="AC401"/>
  <c r="AC407"/>
  <c r="AD399"/>
  <c r="AD401"/>
  <c r="AD407"/>
  <c r="AE223"/>
  <c r="AE224"/>
  <c r="AE424"/>
  <c r="AF218"/>
  <c r="AC229"/>
  <c r="AC242"/>
  <c r="AC425"/>
  <c r="AD227"/>
  <c r="AD229"/>
  <c r="AD242"/>
  <c r="AD425"/>
  <c r="AC394"/>
  <c r="AF395"/>
  <c r="AF396"/>
  <c r="AF432"/>
  <c r="AH421"/>
  <c r="AH439"/>
  <c r="AH444"/>
  <c r="AC382"/>
  <c r="AD381"/>
  <c r="AD382"/>
  <c r="AH435"/>
  <c r="AM12"/>
  <c r="AT12"/>
  <c r="AB442"/>
  <c r="AB433"/>
  <c r="AQ439"/>
  <c r="AQ421"/>
  <c r="AP12"/>
  <c r="AO12"/>
  <c r="AF377"/>
  <c r="AF378"/>
  <c r="AF431"/>
  <c r="AC373"/>
  <c r="AQ413"/>
  <c r="AF42"/>
  <c r="AF418"/>
  <c r="AC34"/>
  <c r="AM441"/>
  <c r="AM430"/>
  <c r="AU433"/>
  <c r="AU442"/>
  <c r="AC207"/>
  <c r="AD205"/>
  <c r="AD207"/>
  <c r="AB321"/>
  <c r="AB427"/>
  <c r="AB449"/>
  <c r="AN439"/>
  <c r="AF442"/>
  <c r="AF433"/>
  <c r="AF283"/>
  <c r="AE287"/>
  <c r="AE288"/>
  <c r="AE426"/>
  <c r="AF242"/>
  <c r="AF425"/>
  <c r="G413"/>
  <c r="AL441"/>
  <c r="AL430"/>
  <c r="AJ14"/>
  <c r="AJ19"/>
  <c r="AI14"/>
  <c r="AI19"/>
  <c r="N14"/>
  <c r="N19"/>
  <c r="N413"/>
  <c r="AX413" i="41"/>
  <c r="R15" i="42"/>
  <c r="S15"/>
  <c r="AF366" i="21"/>
  <c r="AC365"/>
  <c r="AF367"/>
  <c r="AF441"/>
  <c r="R14"/>
  <c r="AL14"/>
  <c r="AL19"/>
  <c r="AQ435"/>
  <c r="AY13"/>
  <c r="AY16"/>
  <c r="AC180"/>
  <c r="AC422"/>
  <c r="AB450"/>
  <c r="AQ444"/>
  <c r="J138" i="8"/>
  <c r="Q21" i="42"/>
  <c r="L17"/>
  <c r="Q17"/>
  <c r="L13"/>
  <c r="L8"/>
  <c r="Q8"/>
  <c r="L4"/>
  <c r="Q4"/>
  <c r="AD12" i="41"/>
  <c r="AW426"/>
  <c r="AW439"/>
  <c r="AC348"/>
  <c r="AC429"/>
  <c r="AD347"/>
  <c r="AD348"/>
  <c r="AD429"/>
  <c r="AC267"/>
  <c r="AD260"/>
  <c r="AD267"/>
  <c r="AB443"/>
  <c r="AB434"/>
  <c r="AC299"/>
  <c r="AD291"/>
  <c r="AD299"/>
  <c r="AB450"/>
  <c r="AB216"/>
  <c r="AB224"/>
  <c r="AB424"/>
  <c r="AF209"/>
  <c r="AB428"/>
  <c r="AB349"/>
  <c r="AB440"/>
  <c r="AC275"/>
  <c r="AT288"/>
  <c r="AT449"/>
  <c r="AC328"/>
  <c r="AC344"/>
  <c r="AD325"/>
  <c r="AD328"/>
  <c r="AC371"/>
  <c r="AC378"/>
  <c r="AC431"/>
  <c r="AD370"/>
  <c r="AD371"/>
  <c r="AD378"/>
  <c r="AD431"/>
  <c r="AE21"/>
  <c r="AB27"/>
  <c r="AB416"/>
  <c r="AX21"/>
  <c r="AC301"/>
  <c r="AF313"/>
  <c r="AC126"/>
  <c r="AD115"/>
  <c r="AD126"/>
  <c r="AC409"/>
  <c r="AF412"/>
  <c r="AF320"/>
  <c r="AF321"/>
  <c r="AF427"/>
  <c r="AC315"/>
  <c r="AM21"/>
  <c r="AM27"/>
  <c r="AM416"/>
  <c r="AK27"/>
  <c r="AK416"/>
  <c r="AT21"/>
  <c r="AT27"/>
  <c r="AT416"/>
  <c r="AD441"/>
  <c r="AD430"/>
  <c r="AC403"/>
  <c r="AF406"/>
  <c r="AF407"/>
  <c r="AD13"/>
  <c r="AF13"/>
  <c r="AB422"/>
  <c r="AC172"/>
  <c r="AD166"/>
  <c r="AD172"/>
  <c r="AC336"/>
  <c r="AD330"/>
  <c r="AD336"/>
  <c r="AE288"/>
  <c r="AE426"/>
  <c r="AU288"/>
  <c r="AU449"/>
  <c r="AN21"/>
  <c r="AN27"/>
  <c r="AN416"/>
  <c r="AL27"/>
  <c r="AL416"/>
  <c r="AU21"/>
  <c r="AU27"/>
  <c r="AU416"/>
  <c r="AF42"/>
  <c r="AF418"/>
  <c r="AC34"/>
  <c r="AF87"/>
  <c r="AF419"/>
  <c r="AC44"/>
  <c r="AC159"/>
  <c r="AD154"/>
  <c r="AD159"/>
  <c r="AD160"/>
  <c r="AF241"/>
  <c r="AC239"/>
  <c r="AC164"/>
  <c r="AD163"/>
  <c r="AD164"/>
  <c r="AF421"/>
  <c r="AC430"/>
  <c r="AB442"/>
  <c r="AB433"/>
  <c r="AD245"/>
  <c r="AD16"/>
  <c r="AF237"/>
  <c r="AF242"/>
  <c r="AF425"/>
  <c r="AC231"/>
  <c r="AF287"/>
  <c r="AC283"/>
  <c r="AD339"/>
  <c r="AD343"/>
  <c r="AC343"/>
  <c r="AL14"/>
  <c r="AK14"/>
  <c r="AW14"/>
  <c r="AW445"/>
  <c r="R6" i="42"/>
  <c r="S6"/>
  <c r="Z14" i="41"/>
  <c r="R19"/>
  <c r="R413"/>
  <c r="AC270"/>
  <c r="AF273"/>
  <c r="AC201"/>
  <c r="AD196"/>
  <c r="AD201"/>
  <c r="AC187"/>
  <c r="AF194"/>
  <c r="AF202"/>
  <c r="AF423"/>
  <c r="AF344"/>
  <c r="AE179"/>
  <c r="AE180"/>
  <c r="AF174"/>
  <c r="AF32"/>
  <c r="AF417"/>
  <c r="AC29"/>
  <c r="AF438" i="21"/>
  <c r="AF420"/>
  <c r="AI437"/>
  <c r="AI444"/>
  <c r="AI415"/>
  <c r="AI435"/>
  <c r="AI413"/>
  <c r="AF421"/>
  <c r="R27"/>
  <c r="AK21"/>
  <c r="AB21"/>
  <c r="AB448"/>
  <c r="AW21"/>
  <c r="AL21"/>
  <c r="AP13"/>
  <c r="AO13"/>
  <c r="AB349"/>
  <c r="AB440"/>
  <c r="AB428"/>
  <c r="AE349"/>
  <c r="AE440"/>
  <c r="AE428"/>
  <c r="AT439"/>
  <c r="AT421"/>
  <c r="AC377"/>
  <c r="AD373"/>
  <c r="AD377"/>
  <c r="AC442"/>
  <c r="AC433"/>
  <c r="AC299"/>
  <c r="AD291"/>
  <c r="AD299"/>
  <c r="AC201"/>
  <c r="AC202"/>
  <c r="AC423"/>
  <c r="AD196"/>
  <c r="AD201"/>
  <c r="AD202"/>
  <c r="AD423"/>
  <c r="AC412"/>
  <c r="AD409"/>
  <c r="AD412"/>
  <c r="AT13"/>
  <c r="AM13"/>
  <c r="AC273"/>
  <c r="AD269"/>
  <c r="AD273"/>
  <c r="AE16"/>
  <c r="AF16"/>
  <c r="AC16"/>
  <c r="AC126"/>
  <c r="AD115"/>
  <c r="AD126"/>
  <c r="AD127"/>
  <c r="AC338"/>
  <c r="AF343"/>
  <c r="AF344"/>
  <c r="AD378"/>
  <c r="AD431"/>
  <c r="AD331"/>
  <c r="AD336"/>
  <c r="AC336"/>
  <c r="AW14"/>
  <c r="AY14"/>
  <c r="Z14"/>
  <c r="AK14"/>
  <c r="R19"/>
  <c r="R413"/>
  <c r="AF287"/>
  <c r="AF288"/>
  <c r="AF426"/>
  <c r="AC283"/>
  <c r="AC42"/>
  <c r="AC418"/>
  <c r="AD34"/>
  <c r="AD42"/>
  <c r="AD418"/>
  <c r="AD442"/>
  <c r="AD433"/>
  <c r="AD145"/>
  <c r="AD152"/>
  <c r="AD160"/>
  <c r="AC152"/>
  <c r="AC355"/>
  <c r="AD353"/>
  <c r="AD355"/>
  <c r="AF87"/>
  <c r="AF419"/>
  <c r="AC44"/>
  <c r="AN13"/>
  <c r="AU13"/>
  <c r="AT16"/>
  <c r="AM16"/>
  <c r="AC210"/>
  <c r="AF216"/>
  <c r="AJ413"/>
  <c r="AJ437"/>
  <c r="AJ444"/>
  <c r="AJ415"/>
  <c r="AJ435"/>
  <c r="AC218"/>
  <c r="AF223"/>
  <c r="AE439"/>
  <c r="AB439"/>
  <c r="AF443"/>
  <c r="AF434"/>
  <c r="AF32"/>
  <c r="AF417"/>
  <c r="AC29"/>
  <c r="AN16"/>
  <c r="AU16"/>
  <c r="AC159"/>
  <c r="AD154"/>
  <c r="AD159"/>
  <c r="AC378"/>
  <c r="AC431"/>
  <c r="AC320"/>
  <c r="AD315"/>
  <c r="AD320"/>
  <c r="AC281"/>
  <c r="AD275"/>
  <c r="AD281"/>
  <c r="AE12"/>
  <c r="AC395"/>
  <c r="AC396"/>
  <c r="AC432"/>
  <c r="AD394"/>
  <c r="AD395"/>
  <c r="AD396"/>
  <c r="AD432"/>
  <c r="AB438"/>
  <c r="AB420"/>
  <c r="AC328"/>
  <c r="AD325"/>
  <c r="AD328"/>
  <c r="AD180"/>
  <c r="AD422"/>
  <c r="AB13"/>
  <c r="AW448"/>
  <c r="AC446"/>
  <c r="AU448" i="41"/>
  <c r="H11" i="42"/>
  <c r="I11"/>
  <c r="AC160" i="21"/>
  <c r="AF430"/>
  <c r="AC366"/>
  <c r="AC367"/>
  <c r="AD365"/>
  <c r="AD366"/>
  <c r="AD367"/>
  <c r="AD430"/>
  <c r="AF224"/>
  <c r="AF424"/>
  <c r="AC449"/>
  <c r="AW27"/>
  <c r="AW416"/>
  <c r="AY21"/>
  <c r="AD16"/>
  <c r="AW445"/>
  <c r="M17" i="42"/>
  <c r="M13"/>
  <c r="M8"/>
  <c r="M4"/>
  <c r="AC32" i="41"/>
  <c r="AC417"/>
  <c r="AD32"/>
  <c r="AD417"/>
  <c r="AD421"/>
  <c r="AC42"/>
  <c r="AC418"/>
  <c r="AD34"/>
  <c r="AD42"/>
  <c r="AD418"/>
  <c r="AD403"/>
  <c r="AD406"/>
  <c r="AD407"/>
  <c r="AF443"/>
  <c r="AF434"/>
  <c r="AE27"/>
  <c r="AE416"/>
  <c r="AF21"/>
  <c r="AC209"/>
  <c r="AF216"/>
  <c r="AF224"/>
  <c r="AF424"/>
  <c r="AE422"/>
  <c r="AE439"/>
  <c r="AM14"/>
  <c r="AM19"/>
  <c r="AT14"/>
  <c r="AK19"/>
  <c r="AF433"/>
  <c r="AF442"/>
  <c r="AC428"/>
  <c r="AC349"/>
  <c r="AC440"/>
  <c r="AE12"/>
  <c r="AP14"/>
  <c r="AP19"/>
  <c r="AO14"/>
  <c r="AO19"/>
  <c r="Z19"/>
  <c r="Z413"/>
  <c r="AU14"/>
  <c r="AN14"/>
  <c r="AN19"/>
  <c r="AL19"/>
  <c r="AW19"/>
  <c r="AC441"/>
  <c r="AD409"/>
  <c r="AD412"/>
  <c r="AT448"/>
  <c r="AT426"/>
  <c r="AT439"/>
  <c r="AC287"/>
  <c r="AD283"/>
  <c r="AD287"/>
  <c r="AF428"/>
  <c r="AF349"/>
  <c r="AF440"/>
  <c r="AF179"/>
  <c r="AF180"/>
  <c r="AC174"/>
  <c r="AC194"/>
  <c r="AC202"/>
  <c r="AC423"/>
  <c r="AD187"/>
  <c r="AD194"/>
  <c r="AD202"/>
  <c r="AD423"/>
  <c r="AC273"/>
  <c r="AD270"/>
  <c r="AD273"/>
  <c r="AB14"/>
  <c r="AC237"/>
  <c r="AD231"/>
  <c r="AD237"/>
  <c r="AC241"/>
  <c r="AD239"/>
  <c r="AD241"/>
  <c r="AC87"/>
  <c r="AC419"/>
  <c r="AD44"/>
  <c r="AD87"/>
  <c r="AD419"/>
  <c r="AU426"/>
  <c r="AU439"/>
  <c r="AC320"/>
  <c r="AD315"/>
  <c r="AD320"/>
  <c r="AD321"/>
  <c r="AD427"/>
  <c r="AC313"/>
  <c r="AC321"/>
  <c r="AC427"/>
  <c r="AD301"/>
  <c r="AD313"/>
  <c r="AD344"/>
  <c r="AD275"/>
  <c r="AC160"/>
  <c r="AC421" i="21"/>
  <c r="AD421"/>
  <c r="AP14"/>
  <c r="AP19"/>
  <c r="AO14"/>
  <c r="AO19"/>
  <c r="AL415"/>
  <c r="AE19"/>
  <c r="AF12"/>
  <c r="AC32"/>
  <c r="AC417"/>
  <c r="AC452"/>
  <c r="AD29"/>
  <c r="AD32"/>
  <c r="AD417"/>
  <c r="AD210"/>
  <c r="AD216"/>
  <c r="AC216"/>
  <c r="AD441"/>
  <c r="AB14"/>
  <c r="AW19"/>
  <c r="AB27"/>
  <c r="AB416"/>
  <c r="AX21"/>
  <c r="AE21"/>
  <c r="AC450"/>
  <c r="AC127"/>
  <c r="AC287"/>
  <c r="AC288"/>
  <c r="AC426"/>
  <c r="AD283"/>
  <c r="AD287"/>
  <c r="AD288"/>
  <c r="AD426"/>
  <c r="AM14"/>
  <c r="AM19"/>
  <c r="AT14"/>
  <c r="AK19"/>
  <c r="AC343"/>
  <c r="AC344"/>
  <c r="AD338"/>
  <c r="AD343"/>
  <c r="AD344"/>
  <c r="AD434"/>
  <c r="AD443"/>
  <c r="AD321"/>
  <c r="AD427"/>
  <c r="AM21"/>
  <c r="AM27"/>
  <c r="AM416"/>
  <c r="AK27"/>
  <c r="AK416"/>
  <c r="AT21"/>
  <c r="AT27"/>
  <c r="AT416"/>
  <c r="AF439"/>
  <c r="AC223"/>
  <c r="AD218"/>
  <c r="AD223"/>
  <c r="AD13"/>
  <c r="AF13"/>
  <c r="Z19"/>
  <c r="Z413"/>
  <c r="AF428"/>
  <c r="AF349"/>
  <c r="AF440"/>
  <c r="AT448"/>
  <c r="AC87"/>
  <c r="AC419"/>
  <c r="AD44"/>
  <c r="AD87"/>
  <c r="AD419"/>
  <c r="AN14"/>
  <c r="AN19"/>
  <c r="AU14"/>
  <c r="AD438"/>
  <c r="AD420"/>
  <c r="AC434"/>
  <c r="AC443"/>
  <c r="AC321"/>
  <c r="AC427"/>
  <c r="AL27"/>
  <c r="AL416"/>
  <c r="AN21"/>
  <c r="AN27"/>
  <c r="AN416"/>
  <c r="AU21"/>
  <c r="AU27"/>
  <c r="AU416"/>
  <c r="J11" i="42"/>
  <c r="K11"/>
  <c r="L11"/>
  <c r="Q11"/>
  <c r="P29"/>
  <c r="I140" i="8"/>
  <c r="P27" i="42"/>
  <c r="P11"/>
  <c r="AC441" i="21"/>
  <c r="AC430"/>
  <c r="BA21"/>
  <c r="BA453"/>
  <c r="AX27"/>
  <c r="AX413"/>
  <c r="AY454"/>
  <c r="O27" i="42"/>
  <c r="AD224" i="21"/>
  <c r="AD424"/>
  <c r="N17" i="42"/>
  <c r="R17"/>
  <c r="N13"/>
  <c r="N8"/>
  <c r="N4"/>
  <c r="AT445" i="41"/>
  <c r="AT453"/>
  <c r="AT19"/>
  <c r="AW415"/>
  <c r="AW435"/>
  <c r="AW437"/>
  <c r="AW444"/>
  <c r="AE19"/>
  <c r="AF12"/>
  <c r="AF19"/>
  <c r="AK437"/>
  <c r="AK444"/>
  <c r="AK415"/>
  <c r="AK435"/>
  <c r="AK413"/>
  <c r="AC21"/>
  <c r="AF27"/>
  <c r="AF416"/>
  <c r="AC179"/>
  <c r="AD174"/>
  <c r="AD179"/>
  <c r="AD180"/>
  <c r="AD349"/>
  <c r="AD440"/>
  <c r="AD428"/>
  <c r="AD242"/>
  <c r="AD425"/>
  <c r="AF422"/>
  <c r="AD443"/>
  <c r="AD434"/>
  <c r="AL437"/>
  <c r="AL444"/>
  <c r="AL413"/>
  <c r="AL415"/>
  <c r="AL435"/>
  <c r="AO437"/>
  <c r="AO444"/>
  <c r="AO415"/>
  <c r="AO435"/>
  <c r="AO413"/>
  <c r="AM413"/>
  <c r="AM415"/>
  <c r="AM435"/>
  <c r="AM437"/>
  <c r="AM444"/>
  <c r="AD442"/>
  <c r="AD433"/>
  <c r="AF14"/>
  <c r="AC14"/>
  <c r="AB445"/>
  <c r="AB19"/>
  <c r="AU445"/>
  <c r="AU453"/>
  <c r="AU19"/>
  <c r="AC421"/>
  <c r="AC242"/>
  <c r="AC425"/>
  <c r="AC443"/>
  <c r="AC434"/>
  <c r="AN437"/>
  <c r="AN444"/>
  <c r="AN415"/>
  <c r="AN435"/>
  <c r="AN413"/>
  <c r="AP437"/>
  <c r="AP444"/>
  <c r="AP413"/>
  <c r="AP415"/>
  <c r="AP435"/>
  <c r="AC216"/>
  <c r="AC224"/>
  <c r="AC424"/>
  <c r="AD209"/>
  <c r="AD216"/>
  <c r="AD224"/>
  <c r="AD424"/>
  <c r="AC442"/>
  <c r="AC433"/>
  <c r="AD428" i="21"/>
  <c r="AD349"/>
  <c r="AD440"/>
  <c r="AM437"/>
  <c r="AM444"/>
  <c r="AM413"/>
  <c r="AM415"/>
  <c r="AM435"/>
  <c r="AC428"/>
  <c r="AC349"/>
  <c r="AC440"/>
  <c r="AK437"/>
  <c r="AK444"/>
  <c r="AK415"/>
  <c r="AK435"/>
  <c r="AK413"/>
  <c r="AC438"/>
  <c r="AC420"/>
  <c r="AX448"/>
  <c r="AF14"/>
  <c r="AC14"/>
  <c r="AD14"/>
  <c r="AD19"/>
  <c r="AC451"/>
  <c r="AN413"/>
  <c r="AN437"/>
  <c r="AN444"/>
  <c r="AN415"/>
  <c r="AN435"/>
  <c r="AB19"/>
  <c r="AT445"/>
  <c r="AT453"/>
  <c r="AT19"/>
  <c r="AL435"/>
  <c r="AL413"/>
  <c r="AB445"/>
  <c r="AB453"/>
  <c r="AE415"/>
  <c r="AL437"/>
  <c r="AL444"/>
  <c r="AU19"/>
  <c r="AU445"/>
  <c r="AP415"/>
  <c r="AP435"/>
  <c r="AP413"/>
  <c r="AP437"/>
  <c r="AP444"/>
  <c r="AU448"/>
  <c r="AF21"/>
  <c r="AE27"/>
  <c r="AE416"/>
  <c r="AW437"/>
  <c r="AW444"/>
  <c r="AW415"/>
  <c r="AW435"/>
  <c r="AW413"/>
  <c r="AC224"/>
  <c r="AO437"/>
  <c r="AO444"/>
  <c r="AO415"/>
  <c r="AO435"/>
  <c r="AO413"/>
  <c r="R21" i="42"/>
  <c r="S21"/>
  <c r="S24"/>
  <c r="G138" i="8"/>
  <c r="M11" i="42"/>
  <c r="N11"/>
  <c r="R11"/>
  <c r="AD439" i="21"/>
  <c r="AE437"/>
  <c r="AE444"/>
  <c r="AF19"/>
  <c r="AF415"/>
  <c r="AE413"/>
  <c r="H140" i="8"/>
  <c r="AX453" i="21"/>
  <c r="O14" i="42"/>
  <c r="R13"/>
  <c r="S13"/>
  <c r="S17"/>
  <c r="R8"/>
  <c r="S8"/>
  <c r="R4"/>
  <c r="S4"/>
  <c r="AC27" i="41"/>
  <c r="AC416"/>
  <c r="AD21"/>
  <c r="AD27"/>
  <c r="AD416"/>
  <c r="AC19"/>
  <c r="AD422"/>
  <c r="AT437"/>
  <c r="AT444"/>
  <c r="AT413"/>
  <c r="AT415"/>
  <c r="AT435"/>
  <c r="AD14"/>
  <c r="AD19"/>
  <c r="AC180"/>
  <c r="AF437"/>
  <c r="AF415"/>
  <c r="AE437"/>
  <c r="AE444"/>
  <c r="AE413"/>
  <c r="AE415"/>
  <c r="AE435"/>
  <c r="AU437"/>
  <c r="AU444"/>
  <c r="AU413"/>
  <c r="AU415"/>
  <c r="AU435"/>
  <c r="AB415"/>
  <c r="AB437"/>
  <c r="AD415" i="21"/>
  <c r="AU413"/>
  <c r="AU437"/>
  <c r="AU444"/>
  <c r="AU415"/>
  <c r="AU435"/>
  <c r="AB437"/>
  <c r="AB444"/>
  <c r="AB413"/>
  <c r="AB415"/>
  <c r="AB435"/>
  <c r="AU453"/>
  <c r="AC424"/>
  <c r="AC439"/>
  <c r="AF27"/>
  <c r="AF416"/>
  <c r="AC21"/>
  <c r="AE435"/>
  <c r="AT437"/>
  <c r="AT444"/>
  <c r="AT415"/>
  <c r="AT435"/>
  <c r="AT413"/>
  <c r="AC445"/>
  <c r="AC19"/>
  <c r="H137" i="8"/>
  <c r="K138"/>
  <c r="H136"/>
  <c r="AD437" i="41"/>
  <c r="AD415"/>
  <c r="AC422"/>
  <c r="AC415"/>
  <c r="AC437"/>
  <c r="AC415" i="21"/>
  <c r="AF435"/>
  <c r="AF413"/>
  <c r="AC27"/>
  <c r="AC416"/>
  <c r="AD21"/>
  <c r="AD27"/>
  <c r="AC448"/>
  <c r="AF437"/>
  <c r="AF444"/>
  <c r="F36" i="42"/>
  <c r="Q29"/>
  <c r="Q27"/>
  <c r="H12"/>
  <c r="P12"/>
  <c r="O11"/>
  <c r="S11"/>
  <c r="AC413" i="21"/>
  <c r="AC453"/>
  <c r="AD416"/>
  <c r="AD435"/>
  <c r="AD437"/>
  <c r="AD444"/>
  <c r="AD413"/>
  <c r="AC435"/>
  <c r="AC437"/>
  <c r="AC444"/>
  <c r="P5" i="42"/>
  <c r="H7"/>
  <c r="O5"/>
  <c r="F37"/>
  <c r="F38"/>
  <c r="I7"/>
  <c r="J140" i="8"/>
  <c r="G36" i="42"/>
  <c r="G37"/>
  <c r="G38"/>
  <c r="I12"/>
  <c r="I139" i="8"/>
  <c r="P9" i="42"/>
  <c r="P18"/>
  <c r="P20"/>
  <c r="H20"/>
  <c r="P7"/>
  <c r="H36"/>
  <c r="H37"/>
  <c r="H38"/>
  <c r="J7"/>
  <c r="J12"/>
  <c r="I36"/>
  <c r="I137" i="8"/>
  <c r="I20" i="42"/>
  <c r="I21" i="40"/>
  <c r="I19"/>
  <c r="I18"/>
  <c r="H9" i="4"/>
  <c r="F4"/>
  <c r="E4"/>
  <c r="H12"/>
  <c r="E29" i="40"/>
  <c r="E30"/>
  <c r="F30"/>
  <c r="E31"/>
  <c r="E32"/>
  <c r="E33"/>
  <c r="F33"/>
  <c r="E34"/>
  <c r="E35"/>
  <c r="F35"/>
  <c r="E36"/>
  <c r="F36"/>
  <c r="E37"/>
  <c r="E38"/>
  <c r="F38"/>
  <c r="E39"/>
  <c r="F39"/>
  <c r="F28"/>
  <c r="I20"/>
  <c r="L20"/>
  <c r="K6"/>
  <c r="L6"/>
  <c r="K7"/>
  <c r="L7"/>
  <c r="K8"/>
  <c r="L8"/>
  <c r="L19"/>
  <c r="K20"/>
  <c r="K14"/>
  <c r="K15"/>
  <c r="L15"/>
  <c r="K16"/>
  <c r="D6"/>
  <c r="E6"/>
  <c r="F6"/>
  <c r="D7"/>
  <c r="E7"/>
  <c r="F7"/>
  <c r="D8"/>
  <c r="D9"/>
  <c r="D10"/>
  <c r="D11"/>
  <c r="E11"/>
  <c r="F11"/>
  <c r="D12"/>
  <c r="E12"/>
  <c r="D13"/>
  <c r="D14"/>
  <c r="E14"/>
  <c r="F14"/>
  <c r="D15"/>
  <c r="E15"/>
  <c r="F15"/>
  <c r="D16"/>
  <c r="D21"/>
  <c r="B44"/>
  <c r="B43"/>
  <c r="B42"/>
  <c r="B41"/>
  <c r="M20"/>
  <c r="B21"/>
  <c r="B20"/>
  <c r="B19"/>
  <c r="B18"/>
  <c r="E10"/>
  <c r="F10"/>
  <c r="D19"/>
  <c r="I65" i="8"/>
  <c r="D18" i="40"/>
  <c r="B22"/>
  <c r="D13" i="43"/>
  <c r="F37" i="40"/>
  <c r="F44"/>
  <c r="E44"/>
  <c r="F29"/>
  <c r="E41"/>
  <c r="E40"/>
  <c r="I22"/>
  <c r="K65" i="8"/>
  <c r="F13" i="43"/>
  <c r="F31" i="40"/>
  <c r="E42"/>
  <c r="D17"/>
  <c r="K17"/>
  <c r="I36"/>
  <c r="J67" i="8"/>
  <c r="E11" i="43"/>
  <c r="F34" i="40"/>
  <c r="F43"/>
  <c r="E43"/>
  <c r="H4" i="4"/>
  <c r="I39" i="8"/>
  <c r="C12" i="43"/>
  <c r="P36" i="42"/>
  <c r="P37"/>
  <c r="I56" i="8"/>
  <c r="I37" i="42"/>
  <c r="I38"/>
  <c r="R29"/>
  <c r="R27"/>
  <c r="S27"/>
  <c r="K12"/>
  <c r="Q12"/>
  <c r="J20"/>
  <c r="I135" i="8"/>
  <c r="I55"/>
  <c r="K7" i="42"/>
  <c r="H142" i="8"/>
  <c r="D37" i="42"/>
  <c r="D38"/>
  <c r="D32"/>
  <c r="O9"/>
  <c r="C37"/>
  <c r="C38"/>
  <c r="K19" i="40"/>
  <c r="D11" i="43"/>
  <c r="F41" i="40"/>
  <c r="B45"/>
  <c r="D20"/>
  <c r="L36"/>
  <c r="L14"/>
  <c r="M14"/>
  <c r="M15"/>
  <c r="M6"/>
  <c r="K21"/>
  <c r="F11" i="43"/>
  <c r="L16" i="40"/>
  <c r="M16"/>
  <c r="M8"/>
  <c r="M19"/>
  <c r="K18"/>
  <c r="C11" i="43"/>
  <c r="M7" i="40"/>
  <c r="F32"/>
  <c r="E13"/>
  <c r="F13"/>
  <c r="E9"/>
  <c r="F9"/>
  <c r="F12"/>
  <c r="E16"/>
  <c r="F16"/>
  <c r="F21"/>
  <c r="E8"/>
  <c r="F5"/>
  <c r="E18"/>
  <c r="F39" i="8"/>
  <c r="F40"/>
  <c r="F41"/>
  <c r="F42"/>
  <c r="F43"/>
  <c r="F44"/>
  <c r="F45"/>
  <c r="F46"/>
  <c r="E107"/>
  <c r="F71"/>
  <c r="C13" i="43"/>
  <c r="F40" i="40"/>
  <c r="E17"/>
  <c r="L35"/>
  <c r="M21"/>
  <c r="O37"/>
  <c r="B11" i="43"/>
  <c r="M5" i="40"/>
  <c r="L17"/>
  <c r="J65" i="8"/>
  <c r="G65"/>
  <c r="E13" i="43"/>
  <c r="B13"/>
  <c r="I37" i="40"/>
  <c r="L34"/>
  <c r="L37"/>
  <c r="I34"/>
  <c r="I35"/>
  <c r="I67" i="8"/>
  <c r="Q7" i="42"/>
  <c r="E45" i="40"/>
  <c r="B12" i="43"/>
  <c r="F42" i="40"/>
  <c r="F45"/>
  <c r="P38" i="42"/>
  <c r="J36"/>
  <c r="L12"/>
  <c r="J139" i="8"/>
  <c r="Q9" i="42"/>
  <c r="L7"/>
  <c r="Q5"/>
  <c r="K20"/>
  <c r="K140" i="8"/>
  <c r="S29" i="42"/>
  <c r="G140" i="8"/>
  <c r="E37" i="42"/>
  <c r="E38"/>
  <c r="K22" i="40"/>
  <c r="E20"/>
  <c r="F32" i="4"/>
  <c r="E21" i="40"/>
  <c r="L18"/>
  <c r="D21" i="4"/>
  <c r="L21" i="40"/>
  <c r="K67" i="8"/>
  <c r="F20" i="40"/>
  <c r="O36"/>
  <c r="D22"/>
  <c r="E19"/>
  <c r="E32" i="4"/>
  <c r="F8" i="40"/>
  <c r="F19"/>
  <c r="F18"/>
  <c r="L38"/>
  <c r="O35"/>
  <c r="M18"/>
  <c r="M22"/>
  <c r="M17"/>
  <c r="F22"/>
  <c r="G32" i="4"/>
  <c r="G21"/>
  <c r="F17" i="40"/>
  <c r="G27" i="4"/>
  <c r="G26"/>
  <c r="G20"/>
  <c r="E27"/>
  <c r="E26"/>
  <c r="F27"/>
  <c r="M12" i="42"/>
  <c r="L20"/>
  <c r="Q18"/>
  <c r="Q20"/>
  <c r="J37"/>
  <c r="J38"/>
  <c r="J135" i="8"/>
  <c r="J55"/>
  <c r="K36" i="42"/>
  <c r="K37"/>
  <c r="K38"/>
  <c r="M7"/>
  <c r="E22" i="40"/>
  <c r="I38"/>
  <c r="L22"/>
  <c r="N14" i="37"/>
  <c r="N42"/>
  <c r="O34" i="40"/>
  <c r="H27" i="4"/>
  <c r="G22"/>
  <c r="H32"/>
  <c r="G38"/>
  <c r="D26"/>
  <c r="D38"/>
  <c r="E20"/>
  <c r="E38"/>
  <c r="N5" i="42"/>
  <c r="N7"/>
  <c r="L36"/>
  <c r="Q36"/>
  <c r="M20"/>
  <c r="N12"/>
  <c r="R12"/>
  <c r="S12"/>
  <c r="C6" i="43"/>
  <c r="H87" i="8"/>
  <c r="H134"/>
  <c r="C5" i="43"/>
  <c r="E32" i="42"/>
  <c r="O32"/>
  <c r="O38" i="40"/>
  <c r="D20" i="4"/>
  <c r="R5" i="42"/>
  <c r="S5"/>
  <c r="R7"/>
  <c r="S7"/>
  <c r="O41"/>
  <c r="O38"/>
  <c r="C21" i="43"/>
  <c r="Q37" i="42"/>
  <c r="J56" i="8"/>
  <c r="L37" i="42"/>
  <c r="L38"/>
  <c r="N36"/>
  <c r="N37"/>
  <c r="N38"/>
  <c r="R9"/>
  <c r="S9"/>
  <c r="M36"/>
  <c r="M37"/>
  <c r="M38"/>
  <c r="N20"/>
  <c r="J137" i="8"/>
  <c r="J144"/>
  <c r="L51"/>
  <c r="L54"/>
  <c r="L83"/>
  <c r="L84"/>
  <c r="L89"/>
  <c r="L90"/>
  <c r="L100"/>
  <c r="L101"/>
  <c r="L112"/>
  <c r="L113"/>
  <c r="L125"/>
  <c r="L126"/>
  <c r="D22" i="4"/>
  <c r="Q38" i="42"/>
  <c r="R36"/>
  <c r="S36"/>
  <c r="S37"/>
  <c r="G56" i="8"/>
  <c r="R18" i="42"/>
  <c r="R20"/>
  <c r="K135" i="8"/>
  <c r="G135"/>
  <c r="H85"/>
  <c r="T51"/>
  <c r="T54"/>
  <c r="T83"/>
  <c r="T84"/>
  <c r="T89"/>
  <c r="T90"/>
  <c r="T100"/>
  <c r="T101"/>
  <c r="T103"/>
  <c r="T104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41"/>
  <c r="T148"/>
  <c r="T149"/>
  <c r="T150"/>
  <c r="T151"/>
  <c r="T152"/>
  <c r="T153"/>
  <c r="T154"/>
  <c r="S38" i="42"/>
  <c r="R37"/>
  <c r="K56" i="8"/>
  <c r="K137"/>
  <c r="S18" i="42"/>
  <c r="G142" i="8"/>
  <c r="K139"/>
  <c r="K55"/>
  <c r="G22" i="26"/>
  <c r="D17"/>
  <c r="G16"/>
  <c r="G15"/>
  <c r="G14"/>
  <c r="G12"/>
  <c r="I11"/>
  <c r="G10"/>
  <c r="H9"/>
  <c r="S20" i="42"/>
  <c r="G137" i="8"/>
  <c r="G144"/>
  <c r="R38" i="42"/>
  <c r="G139" i="8"/>
  <c r="D13" i="26"/>
  <c r="D24"/>
  <c r="G18"/>
  <c r="E17"/>
  <c r="I10"/>
  <c r="G11"/>
  <c r="I12"/>
  <c r="G23"/>
  <c r="G17"/>
  <c r="E26"/>
  <c r="E24"/>
  <c r="G55" i="8"/>
  <c r="G13" i="26"/>
  <c r="I9"/>
  <c r="G9"/>
  <c r="G24"/>
  <c r="H27" i="38"/>
  <c r="E27"/>
  <c r="I16"/>
  <c r="D27"/>
  <c r="G17"/>
  <c r="H17"/>
  <c r="I17"/>
  <c r="J17"/>
  <c r="K17"/>
  <c r="L17"/>
  <c r="M17"/>
  <c r="N17"/>
  <c r="F21"/>
  <c r="G20"/>
  <c r="F20"/>
  <c r="F15"/>
  <c r="E23"/>
  <c r="F23"/>
  <c r="G23"/>
  <c r="H23"/>
  <c r="I23"/>
  <c r="J23"/>
  <c r="K23"/>
  <c r="L23"/>
  <c r="M23"/>
  <c r="N23"/>
  <c r="F22"/>
  <c r="E24"/>
  <c r="D24"/>
  <c r="C24"/>
  <c r="O12"/>
  <c r="O8"/>
  <c r="E2"/>
  <c r="O6"/>
  <c r="I27"/>
  <c r="J27"/>
  <c r="K27"/>
  <c r="L27"/>
  <c r="E22"/>
  <c r="O28"/>
  <c r="N78" i="37"/>
  <c r="H78"/>
  <c r="L77"/>
  <c r="I77"/>
  <c r="M76"/>
  <c r="L76"/>
  <c r="M75"/>
  <c r="L75"/>
  <c r="I75"/>
  <c r="H75"/>
  <c r="G75"/>
  <c r="L73"/>
  <c r="K73"/>
  <c r="H73"/>
  <c r="G73"/>
  <c r="M72"/>
  <c r="L72"/>
  <c r="K72"/>
  <c r="J72"/>
  <c r="I72"/>
  <c r="G72"/>
  <c r="M71"/>
  <c r="L71"/>
  <c r="I71"/>
  <c r="H71"/>
  <c r="J70"/>
  <c r="I70"/>
  <c r="H70"/>
  <c r="M69"/>
  <c r="K66"/>
  <c r="M65"/>
  <c r="L65"/>
  <c r="M64"/>
  <c r="L64"/>
  <c r="L63"/>
  <c r="K63"/>
  <c r="J63"/>
  <c r="G63"/>
  <c r="M56"/>
  <c r="I56"/>
  <c r="H56"/>
  <c r="H55"/>
  <c r="J49"/>
  <c r="I49"/>
  <c r="H49"/>
  <c r="K45"/>
  <c r="J45"/>
  <c r="I44"/>
  <c r="M38"/>
  <c r="H38"/>
  <c r="L37"/>
  <c r="J37"/>
  <c r="L36"/>
  <c r="L35"/>
  <c r="L34"/>
  <c r="L33"/>
  <c r="M32"/>
  <c r="L30"/>
  <c r="J25"/>
  <c r="I25"/>
  <c r="M24"/>
  <c r="L24"/>
  <c r="H23"/>
  <c r="G22"/>
  <c r="M21"/>
  <c r="I19"/>
  <c r="M10"/>
  <c r="L10"/>
  <c r="J10"/>
  <c r="H10"/>
  <c r="G10"/>
  <c r="M8"/>
  <c r="K8"/>
  <c r="I8"/>
  <c r="H8"/>
  <c r="M7"/>
  <c r="M6"/>
  <c r="L6"/>
  <c r="J6"/>
  <c r="H6"/>
  <c r="G19" i="35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1"/>
  <c r="G18"/>
  <c r="G52"/>
  <c r="G4"/>
  <c r="G10"/>
  <c r="M27" i="38"/>
  <c r="H477" i="36"/>
  <c r="J477"/>
  <c r="J478"/>
  <c r="J489"/>
  <c r="J469"/>
  <c r="B469"/>
  <c r="J468"/>
  <c r="J470"/>
  <c r="F457"/>
  <c r="J457"/>
  <c r="F456"/>
  <c r="J456"/>
  <c r="J455"/>
  <c r="B455"/>
  <c r="B456"/>
  <c r="B457"/>
  <c r="F454"/>
  <c r="J454"/>
  <c r="H443"/>
  <c r="J443"/>
  <c r="H442"/>
  <c r="J442"/>
  <c r="B442"/>
  <c r="B443"/>
  <c r="H441"/>
  <c r="J441"/>
  <c r="J432"/>
  <c r="J431"/>
  <c r="J430"/>
  <c r="B430"/>
  <c r="B431"/>
  <c r="B432"/>
  <c r="J429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J298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J272"/>
  <c r="J263"/>
  <c r="J262"/>
  <c r="J261"/>
  <c r="J260"/>
  <c r="J251"/>
  <c r="J250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82"/>
  <c r="J181"/>
  <c r="J180"/>
  <c r="J179"/>
  <c r="J178"/>
  <c r="J177"/>
  <c r="J176"/>
  <c r="J175"/>
  <c r="J174"/>
  <c r="J173"/>
  <c r="H172"/>
  <c r="J172"/>
  <c r="J171"/>
  <c r="J170"/>
  <c r="J169"/>
  <c r="J168"/>
  <c r="J167"/>
  <c r="J166"/>
  <c r="J165"/>
  <c r="J164"/>
  <c r="J163"/>
  <c r="H162"/>
  <c r="J162"/>
  <c r="H161"/>
  <c r="J161"/>
  <c r="J160"/>
  <c r="J159"/>
  <c r="H158"/>
  <c r="J158"/>
  <c r="H157"/>
  <c r="J157"/>
  <c r="J156"/>
  <c r="J155"/>
  <c r="J154"/>
  <c r="J153"/>
  <c r="J152"/>
  <c r="J151"/>
  <c r="J150"/>
  <c r="H149"/>
  <c r="J149"/>
  <c r="H148"/>
  <c r="J148"/>
  <c r="J147"/>
  <c r="H146"/>
  <c r="J146"/>
  <c r="J145"/>
  <c r="J144"/>
  <c r="J143"/>
  <c r="J142"/>
  <c r="J141"/>
  <c r="J140"/>
  <c r="J132"/>
  <c r="J131"/>
  <c r="J130"/>
  <c r="J129"/>
  <c r="J128"/>
  <c r="J127"/>
  <c r="J126"/>
  <c r="J125"/>
  <c r="J124"/>
  <c r="J123"/>
  <c r="J115"/>
  <c r="J114"/>
  <c r="J113"/>
  <c r="J112"/>
  <c r="J111"/>
  <c r="J110"/>
  <c r="J109"/>
  <c r="J108"/>
  <c r="J107"/>
  <c r="J106"/>
  <c r="J105"/>
  <c r="J104"/>
  <c r="J103"/>
  <c r="J102"/>
  <c r="J101"/>
  <c r="J100"/>
  <c r="H99"/>
  <c r="G99"/>
  <c r="F99"/>
  <c r="J98"/>
  <c r="J97"/>
  <c r="J96"/>
  <c r="J95"/>
  <c r="J94"/>
  <c r="J93"/>
  <c r="H92"/>
  <c r="G92"/>
  <c r="F92"/>
  <c r="J91"/>
  <c r="H90"/>
  <c r="G90"/>
  <c r="F90"/>
  <c r="H89"/>
  <c r="G89"/>
  <c r="F89"/>
  <c r="J88"/>
  <c r="F87"/>
  <c r="J87"/>
  <c r="J86"/>
  <c r="H85"/>
  <c r="G85"/>
  <c r="F85"/>
  <c r="H84"/>
  <c r="J84"/>
  <c r="G84"/>
  <c r="F84"/>
  <c r="H83"/>
  <c r="J83"/>
  <c r="G83"/>
  <c r="H82"/>
  <c r="J82"/>
  <c r="G82"/>
  <c r="H81"/>
  <c r="G81"/>
  <c r="F81"/>
  <c r="J80"/>
  <c r="J79"/>
  <c r="H78"/>
  <c r="J78"/>
  <c r="G78"/>
  <c r="F78"/>
  <c r="J77"/>
  <c r="J76"/>
  <c r="H75"/>
  <c r="G75"/>
  <c r="F75"/>
  <c r="J74"/>
  <c r="J73"/>
  <c r="J72"/>
  <c r="J71"/>
  <c r="J70"/>
  <c r="J69"/>
  <c r="J68"/>
  <c r="J67"/>
  <c r="J66"/>
  <c r="J65"/>
  <c r="H64"/>
  <c r="G64"/>
  <c r="F64"/>
  <c r="J64"/>
  <c r="J63"/>
  <c r="J62"/>
  <c r="J61"/>
  <c r="H60"/>
  <c r="J60"/>
  <c r="G60"/>
  <c r="F60"/>
  <c r="J59"/>
  <c r="H58"/>
  <c r="G58"/>
  <c r="F58"/>
  <c r="H57"/>
  <c r="G57"/>
  <c r="F57"/>
  <c r="J56"/>
  <c r="J55"/>
  <c r="H54"/>
  <c r="J54"/>
  <c r="G54"/>
  <c r="F54"/>
  <c r="J53"/>
  <c r="J52"/>
  <c r="J51"/>
  <c r="J50"/>
  <c r="J49"/>
  <c r="J48"/>
  <c r="J47"/>
  <c r="J46"/>
  <c r="J45"/>
  <c r="J44"/>
  <c r="H43"/>
  <c r="G43"/>
  <c r="F43"/>
  <c r="J42"/>
  <c r="J41"/>
  <c r="J40"/>
  <c r="H39"/>
  <c r="G39"/>
  <c r="F39"/>
  <c r="H38"/>
  <c r="G38"/>
  <c r="F38"/>
  <c r="J38"/>
  <c r="J37"/>
  <c r="J36"/>
  <c r="H35"/>
  <c r="G35"/>
  <c r="F35"/>
  <c r="J35"/>
  <c r="H34"/>
  <c r="G34"/>
  <c r="F34"/>
  <c r="H33"/>
  <c r="G33"/>
  <c r="F33"/>
  <c r="H32"/>
  <c r="G32"/>
  <c r="F32"/>
  <c r="H31"/>
  <c r="G31"/>
  <c r="F31"/>
  <c r="H30"/>
  <c r="G30"/>
  <c r="F30"/>
  <c r="J29"/>
  <c r="J28"/>
  <c r="J27"/>
  <c r="J26"/>
  <c r="J25"/>
  <c r="H24"/>
  <c r="J24"/>
  <c r="G24"/>
  <c r="H23"/>
  <c r="G23"/>
  <c r="F23"/>
  <c r="J22"/>
  <c r="J21"/>
  <c r="J20"/>
  <c r="J19"/>
  <c r="J18"/>
  <c r="J17"/>
  <c r="H16"/>
  <c r="G16"/>
  <c r="F16"/>
  <c r="H15"/>
  <c r="G15"/>
  <c r="F15"/>
  <c r="J14"/>
  <c r="H14"/>
  <c r="G14"/>
  <c r="J13"/>
  <c r="J12"/>
  <c r="J11"/>
  <c r="J10"/>
  <c r="H9"/>
  <c r="G9"/>
  <c r="F9"/>
  <c r="J8"/>
  <c r="H7"/>
  <c r="J7"/>
  <c r="G7"/>
  <c r="J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H5"/>
  <c r="G5"/>
  <c r="G6" i="35"/>
  <c r="G5"/>
  <c r="G3"/>
  <c r="G11"/>
  <c r="G12"/>
  <c r="G7"/>
  <c r="G13"/>
  <c r="G8"/>
  <c r="G14"/>
  <c r="G9"/>
  <c r="N27" i="38"/>
  <c r="J31" i="36"/>
  <c r="J89"/>
  <c r="J32"/>
  <c r="J90"/>
  <c r="J252"/>
  <c r="J488"/>
  <c r="J99"/>
  <c r="J92"/>
  <c r="J81"/>
  <c r="J421"/>
  <c r="J493"/>
  <c r="J57"/>
  <c r="J75"/>
  <c r="J16"/>
  <c r="J39"/>
  <c r="J85"/>
  <c r="J34"/>
  <c r="J484"/>
  <c r="J291"/>
  <c r="J498"/>
  <c r="J242"/>
  <c r="J486"/>
  <c r="J30"/>
  <c r="J264"/>
  <c r="J487"/>
  <c r="J9"/>
  <c r="J15"/>
  <c r="J33"/>
  <c r="J433"/>
  <c r="J23"/>
  <c r="J43"/>
  <c r="J458"/>
  <c r="J496"/>
  <c r="J58"/>
  <c r="J444"/>
  <c r="J494"/>
  <c r="J485"/>
  <c r="G15" i="35"/>
  <c r="C8" i="43"/>
  <c r="D8"/>
  <c r="E8"/>
  <c r="F8"/>
  <c r="B8"/>
  <c r="I59" i="8"/>
  <c r="J59"/>
  <c r="K59"/>
  <c r="J501" i="36"/>
  <c r="G59" i="8"/>
  <c r="J483" i="36"/>
  <c r="C141" i="13"/>
  <c r="P83" i="37"/>
  <c r="P85"/>
  <c r="C130" i="13"/>
  <c r="C143"/>
  <c r="J502" i="36"/>
  <c r="P11" i="39"/>
  <c r="P9"/>
  <c r="P8"/>
  <c r="P6"/>
  <c r="P5"/>
  <c r="P4"/>
  <c r="P2"/>
  <c r="P7"/>
  <c r="D81" i="37"/>
  <c r="D34" i="4"/>
  <c r="D33"/>
  <c r="O30" i="38"/>
  <c r="O29"/>
  <c r="O26"/>
  <c r="O25"/>
  <c r="D23"/>
  <c r="C23"/>
  <c r="E21"/>
  <c r="D21"/>
  <c r="C21"/>
  <c r="E20"/>
  <c r="D20"/>
  <c r="O18"/>
  <c r="L15"/>
  <c r="L10"/>
  <c r="J15"/>
  <c r="J10"/>
  <c r="F10"/>
  <c r="H15"/>
  <c r="H10"/>
  <c r="E16"/>
  <c r="O16"/>
  <c r="M15"/>
  <c r="M10"/>
  <c r="K15"/>
  <c r="K10"/>
  <c r="I15"/>
  <c r="I10"/>
  <c r="G15"/>
  <c r="E15"/>
  <c r="O14"/>
  <c r="O13"/>
  <c r="O9"/>
  <c r="O7"/>
  <c r="O5"/>
  <c r="O4"/>
  <c r="O3"/>
  <c r="O2"/>
  <c r="N2"/>
  <c r="M2"/>
  <c r="L2"/>
  <c r="J2"/>
  <c r="H2"/>
  <c r="G2"/>
  <c r="G32"/>
  <c r="F2"/>
  <c r="D2"/>
  <c r="O84" i="37"/>
  <c r="N84"/>
  <c r="M84"/>
  <c r="L84"/>
  <c r="K84"/>
  <c r="J84"/>
  <c r="I84"/>
  <c r="H84"/>
  <c r="G84"/>
  <c r="F84"/>
  <c r="E84"/>
  <c r="D84"/>
  <c r="O82"/>
  <c r="N82"/>
  <c r="M82"/>
  <c r="L82"/>
  <c r="K82"/>
  <c r="J82"/>
  <c r="I82"/>
  <c r="H82"/>
  <c r="G82"/>
  <c r="F82"/>
  <c r="E82"/>
  <c r="D82"/>
  <c r="P78"/>
  <c r="I74"/>
  <c r="O74"/>
  <c r="K74"/>
  <c r="J74"/>
  <c r="F74"/>
  <c r="E74"/>
  <c r="F73"/>
  <c r="F72"/>
  <c r="P72"/>
  <c r="F71"/>
  <c r="F70"/>
  <c r="P69"/>
  <c r="P68"/>
  <c r="P67"/>
  <c r="F66"/>
  <c r="P65"/>
  <c r="P64"/>
  <c r="F63"/>
  <c r="P63"/>
  <c r="F62"/>
  <c r="E62"/>
  <c r="P61"/>
  <c r="P59"/>
  <c r="P58"/>
  <c r="P57"/>
  <c r="P60"/>
  <c r="F56"/>
  <c r="P55"/>
  <c r="P54"/>
  <c r="P52"/>
  <c r="P51"/>
  <c r="F49"/>
  <c r="P50"/>
  <c r="P49"/>
  <c r="P48"/>
  <c r="P47"/>
  <c r="P46"/>
  <c r="P41"/>
  <c r="P40"/>
  <c r="P39"/>
  <c r="F37"/>
  <c r="F35"/>
  <c r="P35"/>
  <c r="P34"/>
  <c r="P33"/>
  <c r="P32"/>
  <c r="P31"/>
  <c r="P27"/>
  <c r="F24"/>
  <c r="P23"/>
  <c r="P22"/>
  <c r="P21"/>
  <c r="P20"/>
  <c r="P19"/>
  <c r="F18"/>
  <c r="E18"/>
  <c r="F17"/>
  <c r="P17"/>
  <c r="P15"/>
  <c r="P12"/>
  <c r="P11"/>
  <c r="P9"/>
  <c r="K5"/>
  <c r="P7"/>
  <c r="L5"/>
  <c r="H5"/>
  <c r="F6"/>
  <c r="O5"/>
  <c r="O87"/>
  <c r="J5"/>
  <c r="P4"/>
  <c r="P3"/>
  <c r="O3"/>
  <c r="N3"/>
  <c r="M3"/>
  <c r="L3"/>
  <c r="K3"/>
  <c r="J3"/>
  <c r="I3"/>
  <c r="H3"/>
  <c r="G3"/>
  <c r="F3"/>
  <c r="E3"/>
  <c r="K92"/>
  <c r="O10" i="38"/>
  <c r="O32"/>
  <c r="D15"/>
  <c r="D10"/>
  <c r="E10"/>
  <c r="E32"/>
  <c r="O19"/>
  <c r="L32"/>
  <c r="P82" i="37"/>
  <c r="K87"/>
  <c r="J87"/>
  <c r="H87"/>
  <c r="P84"/>
  <c r="F32" i="38"/>
  <c r="M32"/>
  <c r="J32"/>
  <c r="H32"/>
  <c r="I32"/>
  <c r="P73" i="37"/>
  <c r="P75"/>
  <c r="M74"/>
  <c r="P77"/>
  <c r="F5"/>
  <c r="E92"/>
  <c r="P14"/>
  <c r="P16"/>
  <c r="P45"/>
  <c r="G74"/>
  <c r="P29"/>
  <c r="P37"/>
  <c r="P8"/>
  <c r="P13"/>
  <c r="P25"/>
  <c r="P30"/>
  <c r="P43"/>
  <c r="P53"/>
  <c r="N15" i="38"/>
  <c r="N10"/>
  <c r="N32"/>
  <c r="O17"/>
  <c r="K2"/>
  <c r="K32"/>
  <c r="D32"/>
  <c r="I5" i="37"/>
  <c r="P18"/>
  <c r="P36"/>
  <c r="P42"/>
  <c r="P62"/>
  <c r="P66"/>
  <c r="P80"/>
  <c r="P79"/>
  <c r="P70"/>
  <c r="M5"/>
  <c r="F16" i="43"/>
  <c r="G5" i="37"/>
  <c r="P24"/>
  <c r="P26"/>
  <c r="P38"/>
  <c r="P44"/>
  <c r="P56"/>
  <c r="P71"/>
  <c r="P76"/>
  <c r="P6"/>
  <c r="P10"/>
  <c r="P28"/>
  <c r="H74"/>
  <c r="L74"/>
  <c r="F23" i="4"/>
  <c r="P5" i="37"/>
  <c r="P86"/>
  <c r="P87"/>
  <c r="H92"/>
  <c r="P92"/>
  <c r="E16" i="43"/>
  <c r="J71" i="8"/>
  <c r="G37" i="38"/>
  <c r="D9" i="43"/>
  <c r="I60" i="8"/>
  <c r="J37" i="38"/>
  <c r="E9" i="43"/>
  <c r="J60" i="8"/>
  <c r="M37" i="38"/>
  <c r="F9" i="43"/>
  <c r="K60" i="8"/>
  <c r="D37" i="38"/>
  <c r="O37"/>
  <c r="K71" i="8"/>
  <c r="L87" i="37"/>
  <c r="E87"/>
  <c r="G87"/>
  <c r="F87"/>
  <c r="I87"/>
  <c r="D16" i="43"/>
  <c r="I71" i="8"/>
  <c r="P89" i="37"/>
  <c r="C38" i="43"/>
  <c r="O38" i="38"/>
  <c r="B9" i="43"/>
  <c r="M87" i="37"/>
  <c r="E34" i="4"/>
  <c r="F34"/>
  <c r="G34"/>
  <c r="E30"/>
  <c r="E33"/>
  <c r="F33"/>
  <c r="G33"/>
  <c r="G71" i="8"/>
  <c r="B16" i="43"/>
  <c r="G60" i="8"/>
  <c r="E21" i="4"/>
  <c r="D22" i="43"/>
  <c r="F30" i="4"/>
  <c r="E22"/>
  <c r="E22" i="43"/>
  <c r="E18"/>
  <c r="J78" i="8"/>
  <c r="J39"/>
  <c r="F21" i="4"/>
  <c r="H21"/>
  <c r="D18" i="43"/>
  <c r="C40"/>
  <c r="C42"/>
  <c r="G30" i="4"/>
  <c r="K39" i="8"/>
  <c r="G39"/>
  <c r="H30" i="4"/>
  <c r="F22" i="43"/>
  <c r="I78" i="8"/>
  <c r="I76"/>
  <c r="F18" i="43"/>
  <c r="B18"/>
  <c r="B22"/>
  <c r="H14" i="4"/>
  <c r="H13"/>
  <c r="H11"/>
  <c r="H7"/>
  <c r="K78" i="8"/>
  <c r="T39"/>
  <c r="H5" i="4"/>
  <c r="H6"/>
  <c r="H8"/>
  <c r="H15"/>
  <c r="K76" i="8"/>
  <c r="G78"/>
  <c r="G76"/>
  <c r="D141" i="13"/>
  <c r="E141"/>
  <c r="F141"/>
  <c r="D142" i="8"/>
  <c r="D143"/>
  <c r="D144"/>
  <c r="D145"/>
  <c r="D146"/>
  <c r="D147"/>
  <c r="F149"/>
  <c r="F150"/>
  <c r="F151"/>
  <c r="F152"/>
  <c r="F153"/>
  <c r="F154"/>
  <c r="T43"/>
  <c r="D127"/>
  <c r="D105"/>
  <c r="I45"/>
  <c r="E9" i="13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9"/>
  <c r="E80"/>
  <c r="E81"/>
  <c r="E82"/>
  <c r="E83"/>
  <c r="E84"/>
  <c r="E86"/>
  <c r="E87"/>
  <c r="E88"/>
  <c r="E89"/>
  <c r="E90"/>
  <c r="E91"/>
  <c r="E93"/>
  <c r="E94"/>
  <c r="E95"/>
  <c r="E96"/>
  <c r="E97"/>
  <c r="E98"/>
  <c r="E99"/>
  <c r="E100"/>
  <c r="E101"/>
  <c r="E102"/>
  <c r="E103"/>
  <c r="E104"/>
  <c r="E105"/>
  <c r="E107"/>
  <c r="E108"/>
  <c r="E109"/>
  <c r="E110"/>
  <c r="E111"/>
  <c r="E113"/>
  <c r="E114"/>
  <c r="E115"/>
  <c r="E116"/>
  <c r="E117"/>
  <c r="E118"/>
  <c r="E119"/>
  <c r="E120"/>
  <c r="E121"/>
  <c r="E122"/>
  <c r="E123"/>
  <c r="T78" i="8"/>
  <c r="T92"/>
  <c r="T95"/>
  <c r="T96"/>
  <c r="T70"/>
  <c r="T68"/>
  <c r="T69"/>
  <c r="T79"/>
  <c r="J42"/>
  <c r="K47"/>
  <c r="T63"/>
  <c r="I43"/>
  <c r="C134" i="13"/>
  <c r="D149"/>
  <c r="C150"/>
  <c r="E143"/>
  <c r="G111" i="8"/>
  <c r="L111"/>
  <c r="G110"/>
  <c r="L110"/>
  <c r="G109"/>
  <c r="L109"/>
  <c r="G108"/>
  <c r="L108"/>
  <c r="G107"/>
  <c r="L107"/>
  <c r="G106"/>
  <c r="L106"/>
  <c r="G104"/>
  <c r="L104"/>
  <c r="G103"/>
  <c r="L103"/>
  <c r="K42"/>
  <c r="G148"/>
  <c r="D107"/>
  <c r="D91"/>
  <c r="D76"/>
  <c r="D62"/>
  <c r="D48"/>
  <c r="D44"/>
  <c r="D40"/>
  <c r="H28" i="4"/>
  <c r="E151" i="13"/>
  <c r="T42" i="8"/>
  <c r="T46"/>
  <c r="T47"/>
  <c r="I47"/>
  <c r="I50"/>
  <c r="T86"/>
  <c r="T88"/>
  <c r="T98"/>
  <c r="T99"/>
  <c r="F151" i="13"/>
  <c r="E150"/>
  <c r="D150"/>
  <c r="D151"/>
  <c r="C151"/>
  <c r="F150"/>
  <c r="K50" i="8"/>
  <c r="J50"/>
  <c r="I49"/>
  <c r="I105"/>
  <c r="H105"/>
  <c r="J45"/>
  <c r="I42"/>
  <c r="J47"/>
  <c r="T97"/>
  <c r="H36" i="4"/>
  <c r="H37"/>
  <c r="J49" i="8"/>
  <c r="K45"/>
  <c r="J43"/>
  <c r="K43"/>
  <c r="T50"/>
  <c r="T45"/>
  <c r="T44"/>
  <c r="G43"/>
  <c r="T66"/>
  <c r="T105"/>
  <c r="T49"/>
  <c r="D102"/>
  <c r="T64"/>
  <c r="E106" i="13"/>
  <c r="E112"/>
  <c r="E8"/>
  <c r="F143"/>
  <c r="F144"/>
  <c r="E92"/>
  <c r="G92" i="8"/>
  <c r="T128"/>
  <c r="F109"/>
  <c r="J105"/>
  <c r="J102"/>
  <c r="I102"/>
  <c r="I46"/>
  <c r="I44"/>
  <c r="T48"/>
  <c r="G79"/>
  <c r="G45"/>
  <c r="G88"/>
  <c r="F104"/>
  <c r="F111"/>
  <c r="D72"/>
  <c r="G68"/>
  <c r="G69"/>
  <c r="G42"/>
  <c r="K49"/>
  <c r="F108"/>
  <c r="D152" i="13"/>
  <c r="F110" i="8"/>
  <c r="G66"/>
  <c r="I48"/>
  <c r="G50"/>
  <c r="J76"/>
  <c r="F148"/>
  <c r="E144" i="13"/>
  <c r="G63" i="8"/>
  <c r="G47"/>
  <c r="J48"/>
  <c r="D80"/>
  <c r="F103"/>
  <c r="F106"/>
  <c r="E149" i="13"/>
  <c r="C149"/>
  <c r="T73" i="8"/>
  <c r="D143" i="13"/>
  <c r="F149"/>
  <c r="H29" i="4"/>
  <c r="T77" i="8"/>
  <c r="L79"/>
  <c r="L96"/>
  <c r="L78"/>
  <c r="L68"/>
  <c r="L95"/>
  <c r="L63"/>
  <c r="L98"/>
  <c r="L88"/>
  <c r="L66"/>
  <c r="L47"/>
  <c r="L50"/>
  <c r="L43"/>
  <c r="L45"/>
  <c r="L42"/>
  <c r="H102"/>
  <c r="T102"/>
  <c r="L69"/>
  <c r="F92"/>
  <c r="L92"/>
  <c r="E23" i="4"/>
  <c r="G64" i="8"/>
  <c r="D81"/>
  <c r="D82"/>
  <c r="F98"/>
  <c r="K48"/>
  <c r="G23" i="4"/>
  <c r="J46" i="8"/>
  <c r="J44"/>
  <c r="H33" i="4"/>
  <c r="F88" i="8"/>
  <c r="F96"/>
  <c r="F95"/>
  <c r="F152" i="13"/>
  <c r="G86" i="8"/>
  <c r="C152" i="13"/>
  <c r="F69" i="8"/>
  <c r="T76"/>
  <c r="C144" i="13"/>
  <c r="T57" i="8"/>
  <c r="H35" i="4"/>
  <c r="D144" i="13"/>
  <c r="E152"/>
  <c r="F107" i="8"/>
  <c r="K105"/>
  <c r="G49"/>
  <c r="L70"/>
  <c r="L77"/>
  <c r="L64"/>
  <c r="L86"/>
  <c r="L49"/>
  <c r="F99"/>
  <c r="L99"/>
  <c r="T71"/>
  <c r="F70"/>
  <c r="F64"/>
  <c r="T133"/>
  <c r="F79"/>
  <c r="G48"/>
  <c r="K46"/>
  <c r="H34" i="4"/>
  <c r="F68" i="8"/>
  <c r="F78"/>
  <c r="K102"/>
  <c r="G105"/>
  <c r="L73"/>
  <c r="F50"/>
  <c r="F66"/>
  <c r="F86"/>
  <c r="T59"/>
  <c r="F47"/>
  <c r="F63"/>
  <c r="L57"/>
  <c r="L133"/>
  <c r="L76"/>
  <c r="L105"/>
  <c r="L48"/>
  <c r="L39"/>
  <c r="L128"/>
  <c r="T75"/>
  <c r="T94"/>
  <c r="T74"/>
  <c r="T93"/>
  <c r="F128"/>
  <c r="G46"/>
  <c r="K44"/>
  <c r="G44"/>
  <c r="F77"/>
  <c r="F133"/>
  <c r="G102"/>
  <c r="T131"/>
  <c r="F49"/>
  <c r="T58"/>
  <c r="T65"/>
  <c r="T61"/>
  <c r="T129"/>
  <c r="T132"/>
  <c r="L132"/>
  <c r="L46"/>
  <c r="L102"/>
  <c r="G97"/>
  <c r="T72"/>
  <c r="T91"/>
  <c r="I75"/>
  <c r="F48"/>
  <c r="F73"/>
  <c r="F76"/>
  <c r="F57"/>
  <c r="F105"/>
  <c r="F132"/>
  <c r="T67"/>
  <c r="L44"/>
  <c r="L97"/>
  <c r="F97"/>
  <c r="I74"/>
  <c r="I62"/>
  <c r="I91"/>
  <c r="F102"/>
  <c r="I72"/>
  <c r="L131"/>
  <c r="L129"/>
  <c r="T60"/>
  <c r="T62"/>
  <c r="F131"/>
  <c r="T130"/>
  <c r="F129"/>
  <c r="J75"/>
  <c r="H127"/>
  <c r="T127"/>
  <c r="J74"/>
  <c r="I127"/>
  <c r="J62"/>
  <c r="J91"/>
  <c r="K91"/>
  <c r="G91"/>
  <c r="T41"/>
  <c r="J72"/>
  <c r="L130"/>
  <c r="J127"/>
  <c r="T138"/>
  <c r="F130"/>
  <c r="G127"/>
  <c r="K127"/>
  <c r="L127"/>
  <c r="T40"/>
  <c r="G67"/>
  <c r="E127"/>
  <c r="F127"/>
  <c r="T145"/>
  <c r="H82"/>
  <c r="L67"/>
  <c r="T80"/>
  <c r="K75"/>
  <c r="G94"/>
  <c r="G75"/>
  <c r="T140"/>
  <c r="I41"/>
  <c r="K62"/>
  <c r="G62"/>
  <c r="L65"/>
  <c r="L59"/>
  <c r="L94"/>
  <c r="H146"/>
  <c r="T146"/>
  <c r="T139"/>
  <c r="F94"/>
  <c r="F75"/>
  <c r="K74"/>
  <c r="F67"/>
  <c r="T137"/>
  <c r="I40"/>
  <c r="H147"/>
  <c r="T147"/>
  <c r="K72"/>
  <c r="G72"/>
  <c r="L75"/>
  <c r="L62"/>
  <c r="G74"/>
  <c r="L93"/>
  <c r="F65"/>
  <c r="G61"/>
  <c r="F93"/>
  <c r="F74"/>
  <c r="F59"/>
  <c r="I80"/>
  <c r="H144"/>
  <c r="T144"/>
  <c r="L61"/>
  <c r="L91"/>
  <c r="L74"/>
  <c r="L71"/>
  <c r="F62"/>
  <c r="J41"/>
  <c r="F26" i="4"/>
  <c r="I146" i="8"/>
  <c r="I145"/>
  <c r="F91"/>
  <c r="F20" i="4"/>
  <c r="F38"/>
  <c r="L72" i="8"/>
  <c r="I147"/>
  <c r="F61"/>
  <c r="J40"/>
  <c r="F22" i="4"/>
  <c r="H20"/>
  <c r="H22"/>
  <c r="B44" i="43"/>
  <c r="K145" i="8"/>
  <c r="K147"/>
  <c r="J80"/>
  <c r="F72"/>
  <c r="L60"/>
  <c r="L138"/>
  <c r="T55"/>
  <c r="F60"/>
  <c r="T135"/>
  <c r="F138"/>
  <c r="G145"/>
  <c r="J145"/>
  <c r="I144"/>
  <c r="K41"/>
  <c r="G41"/>
  <c r="J146"/>
  <c r="T56"/>
  <c r="L140"/>
  <c r="T142"/>
  <c r="F145"/>
  <c r="J147"/>
  <c r="F140"/>
  <c r="G147"/>
  <c r="K40"/>
  <c r="H26" i="4"/>
  <c r="H38"/>
  <c r="L41" i="8"/>
  <c r="K80"/>
  <c r="G80"/>
  <c r="G40"/>
  <c r="F147"/>
  <c r="L139"/>
  <c r="L40"/>
  <c r="F139"/>
  <c r="G146"/>
  <c r="K146"/>
  <c r="L137"/>
  <c r="L80"/>
  <c r="H23" i="4"/>
  <c r="F146" i="8"/>
  <c r="F137"/>
  <c r="I142"/>
  <c r="F144"/>
  <c r="K144"/>
  <c r="J142"/>
  <c r="F80"/>
  <c r="L135"/>
  <c r="F135"/>
  <c r="K142"/>
  <c r="F142"/>
  <c r="L55"/>
  <c r="L56"/>
  <c r="F55"/>
  <c r="F56"/>
  <c r="T136"/>
  <c r="T52"/>
  <c r="T53"/>
  <c r="T85"/>
  <c r="H143"/>
  <c r="T143"/>
  <c r="T134"/>
  <c r="T81"/>
  <c r="T87"/>
  <c r="T82"/>
  <c r="F52"/>
  <c r="F53"/>
  <c r="G58"/>
  <c r="L58"/>
  <c r="F58"/>
  <c r="F81"/>
  <c r="F82"/>
  <c r="AB251" i="41"/>
  <c r="AF251"/>
  <c r="AC251"/>
  <c r="AC258"/>
  <c r="AC288"/>
  <c r="AC426"/>
  <c r="AH258"/>
  <c r="AH288"/>
  <c r="AQ251"/>
  <c r="AQ258"/>
  <c r="AQ288"/>
  <c r="AA258"/>
  <c r="AA288"/>
  <c r="AQ426"/>
  <c r="AC439"/>
  <c r="AQ439"/>
  <c r="AF258"/>
  <c r="AF288"/>
  <c r="AD251"/>
  <c r="AD258"/>
  <c r="AD288"/>
  <c r="AH426"/>
  <c r="AH439"/>
  <c r="AB258"/>
  <c r="AB288"/>
  <c r="AD439"/>
  <c r="AD426"/>
  <c r="AF426"/>
  <c r="AF439"/>
  <c r="AB426"/>
  <c r="AB439"/>
  <c r="AB107"/>
  <c r="AB108"/>
  <c r="AH113"/>
  <c r="AH127"/>
  <c r="AH413"/>
  <c r="AF108"/>
  <c r="AB113"/>
  <c r="AA113"/>
  <c r="AA127"/>
  <c r="AA413"/>
  <c r="AQ108"/>
  <c r="AQ113"/>
  <c r="AQ127"/>
  <c r="AQ420"/>
  <c r="AQ435"/>
  <c r="AF107"/>
  <c r="AC107"/>
  <c r="AD107"/>
  <c r="AC108"/>
  <c r="AF113"/>
  <c r="AF127"/>
  <c r="AQ413"/>
  <c r="AH420"/>
  <c r="AH435"/>
  <c r="AH438"/>
  <c r="AH444"/>
  <c r="AQ438"/>
  <c r="AQ444"/>
  <c r="AB127"/>
  <c r="AB449"/>
  <c r="AB453"/>
  <c r="AF413"/>
  <c r="AF438"/>
  <c r="AF444"/>
  <c r="AF420"/>
  <c r="AF435"/>
  <c r="AC113"/>
  <c r="AD108"/>
  <c r="AD113"/>
  <c r="AD127"/>
  <c r="AB413"/>
  <c r="AB438"/>
  <c r="AB444"/>
  <c r="AB420"/>
  <c r="AB435"/>
  <c r="AC449"/>
  <c r="AC127"/>
  <c r="AD420"/>
  <c r="AD435"/>
  <c r="AD438"/>
  <c r="AD444"/>
  <c r="AD413"/>
  <c r="AC420"/>
  <c r="AC435"/>
  <c r="AC438"/>
  <c r="AC444"/>
  <c r="AC413"/>
  <c r="AC453"/>
  <c r="H16" i="42"/>
  <c r="P16"/>
  <c r="H30"/>
  <c r="H31"/>
  <c r="P31"/>
  <c r="G32"/>
  <c r="I16"/>
  <c r="P14"/>
  <c r="F32"/>
  <c r="I30"/>
  <c r="I31"/>
  <c r="P30"/>
  <c r="I136" i="8"/>
  <c r="H32" i="42"/>
  <c r="P32"/>
  <c r="J16"/>
  <c r="J30"/>
  <c r="J31"/>
  <c r="D6" i="43"/>
  <c r="I87" i="8"/>
  <c r="D5" i="43"/>
  <c r="P40" i="42"/>
  <c r="K16"/>
  <c r="K30"/>
  <c r="K31"/>
  <c r="Q31"/>
  <c r="I134" i="8"/>
  <c r="I143"/>
  <c r="Q16" i="42"/>
  <c r="I53" i="8"/>
  <c r="P41" i="42"/>
  <c r="D21" i="43"/>
  <c r="D38"/>
  <c r="I32" i="42"/>
  <c r="L16"/>
  <c r="Q14"/>
  <c r="J32"/>
  <c r="I52" i="8"/>
  <c r="L30" i="42"/>
  <c r="L31"/>
  <c r="I81" i="8"/>
  <c r="Q30" i="42"/>
  <c r="M16"/>
  <c r="M30"/>
  <c r="M31"/>
  <c r="J136" i="8"/>
  <c r="I85"/>
  <c r="I82"/>
  <c r="D40" i="43"/>
  <c r="D42"/>
  <c r="K32" i="42"/>
  <c r="Q32"/>
  <c r="Q41"/>
  <c r="J53" i="8"/>
  <c r="E6" i="43"/>
  <c r="J87" i="8"/>
  <c r="J134"/>
  <c r="J143"/>
  <c r="Q40" i="42"/>
  <c r="E5" i="43"/>
  <c r="N16" i="42"/>
  <c r="N30"/>
  <c r="N31"/>
  <c r="R31"/>
  <c r="S31"/>
  <c r="R16"/>
  <c r="S16"/>
  <c r="E38" i="43"/>
  <c r="R14" i="42"/>
  <c r="S14"/>
  <c r="E21" i="43"/>
  <c r="J52" i="8"/>
  <c r="J81"/>
  <c r="M32" i="42"/>
  <c r="L32"/>
  <c r="E40" i="43"/>
  <c r="E42"/>
  <c r="J82" i="8"/>
  <c r="J85"/>
  <c r="K136"/>
  <c r="R30" i="42"/>
  <c r="S30"/>
  <c r="G52" i="8"/>
  <c r="L52"/>
  <c r="G136"/>
  <c r="R40" i="42"/>
  <c r="F5" i="43"/>
  <c r="N32" i="42"/>
  <c r="R32"/>
  <c r="S32"/>
  <c r="K143" i="8"/>
  <c r="K134"/>
  <c r="R41" i="42"/>
  <c r="S41"/>
  <c r="K53" i="8"/>
  <c r="G53"/>
  <c r="L53"/>
  <c r="F6" i="43"/>
  <c r="K87" i="8"/>
  <c r="F38" i="43"/>
  <c r="K52" i="8"/>
  <c r="K81"/>
  <c r="G81"/>
  <c r="G82"/>
  <c r="S40" i="42"/>
  <c r="S43"/>
  <c r="G87" i="8"/>
  <c r="B6" i="43"/>
  <c r="F136" i="8"/>
  <c r="G134"/>
  <c r="G143"/>
  <c r="F143"/>
  <c r="L136"/>
  <c r="F21" i="43"/>
  <c r="B5"/>
  <c r="B38"/>
  <c r="F87" i="8"/>
  <c r="L87"/>
  <c r="K85"/>
  <c r="G85"/>
  <c r="B21" i="43"/>
  <c r="L134" i="8"/>
  <c r="F134"/>
  <c r="K82"/>
  <c r="F40" i="43"/>
  <c r="F42"/>
  <c r="B43"/>
  <c r="B45"/>
  <c r="F85" i="8"/>
  <c r="L85"/>
  <c r="L81"/>
  <c r="L82"/>
  <c r="B40" i="43"/>
  <c r="B42"/>
</calcChain>
</file>

<file path=xl/sharedStrings.xml><?xml version="1.0" encoding="utf-8"?>
<sst xmlns="http://schemas.openxmlformats.org/spreadsheetml/2006/main" count="4419" uniqueCount="1975">
  <si>
    <t>Діагностичний моноклональний реагент анти-D, системи Rhesus, призначений для виявлення антигену D еритроцитів людини за допомогою прямої реакці їаглютинації.Пластиковий флакон з вмістом моноклональних антитіл. Прозораабо з незначною опалесценцією рідина Титр моноклональних, специфічних антитіл повинен бути позиції не менше 1:32. рН від 6,5 до 7,2. Загальний термін придатності 2,5 роки.</t>
  </si>
  <si>
    <t>Діагностичний моноклональний реагент Анти-А  101мл для визначення групи крові за системою АВ0 Групотест</t>
  </si>
  <si>
    <t>Діагностичний моноклональний реагент анти-А призначений для визначення групи крові людини за системою АВ0 шляхом виявлення антигену А еритроцитівлюдини за допомогою прямої реакції аглютинації.Пластиковий флакон з вмістом моноклональних антитіл Прозора або з незначною опалесценцією рідина різних відтінків червоного кольору. Титр моноклональних, специфічних антитіл повинен бути позиції не менше 1:32. рН від 6,5 до 7,2. Загальний термін придатності 2.5 роки.</t>
  </si>
  <si>
    <t>Діагностичний моноклональний реагент Анти-В 10 мл групи крові за системою АВ0 Групотест</t>
  </si>
  <si>
    <t xml:space="preserve"> Діагностичний моноклональний реагент анти-В призначений для визначення групи крові людини за системою АВ0 шляхом виявлення антигену В еритроцитів людини за допомогою прямої реакці їаглютинації. Пластиковий флакон з вмістом моноклональних антитіл. Прозора або з незначною опалесценцією рідина від блідо-фіолетового до синього кольору. Титр моноклональних, специфічних антитіл повинен бути позиції не менше 1:32. рН від 6,5 до 7,2. Загальний термін придатності 2,5 роки</t>
  </si>
  <si>
    <t>Діагностичний моноклональний реагент Анти-С 10 мл групи крові за системою АВ0 Групотест</t>
  </si>
  <si>
    <t>Діагностичний моноклональний реагент анти-С, системиRhesus, призначений для виявлення антигену С еритроцитів людини за допомогою прямої реакції аглютинації.Пластиковий флакон з вмістом моноклональних антитіл Прозора або з незначною опалесценцією з рожевим або жовтуватим відтінком рідина. Титр моноклональних, специфічних антитіл повинен бути позиції не менше 1:16. Загальний термін придатності 2 роки</t>
  </si>
  <si>
    <t>Тромбопластин Генезіс</t>
  </si>
  <si>
    <t>Набір тромбопластин для визначення протромбінового часу (протромбінів індекс) плазми крові (метод Квіка). Склад  набору: Тромбопластин 1 г</t>
  </si>
  <si>
    <t>Фарбник-фіксатор Еозин- метиленовий синій по Май – Грюнвальду 1л</t>
  </si>
  <si>
    <t>Рухлива рідина темно – синього кольору для забарвлення формених елементів крові</t>
  </si>
  <si>
    <t>Азур – еозин по Романовському 1 л</t>
  </si>
  <si>
    <t>Розчин чда Рідина темно – синього кольору для забарвлення формених елементів крові</t>
  </si>
  <si>
    <t>Набір реактивів для визначення холестерину-ферментований методНР026.02</t>
  </si>
  <si>
    <t>Діапазон визначаємих активностей – від 0,5 ммоль до 19,4 ммоль. Коефіцієнт варіації визначення – не більше 5% Склад набору: 1. Ензимний реагент  2 фл. по (100±2) мл або      4 фл. по (50±2) мл:* холестеринестераза - (150±15) Е/л; * холестериноксидаза – (100±10) Е/л;* пероксидаза  – (5,0±0,5) КЕ/л; * 4 – амінофеназон – (0,300±0,015) ммоль/л;* фенол (30,0±1,5) ммоль/л;* ТРІС (30,0±1,5) ммоль/л * стабілізатори, активатори2. Калібрувальний розчин холестерину – 1 ампула або флакон з (1,5±0,1) мл  з концентрацією (5,17±0,10) ммоль/л ;</t>
  </si>
  <si>
    <t>М-30CFL LYSE 500 мл</t>
  </si>
  <si>
    <t>Реактив для гематологічного дослідження на гематологічному аналізаторі mindray BC-30s</t>
  </si>
  <si>
    <t>Контроль на кров для гематологічних досліджень на гематологічному аналізаторі mindray BC-30</t>
  </si>
  <si>
    <t>Набір реагентів HemoStar  Тромбопластин-СІ для визначення протромбінового часу</t>
  </si>
  <si>
    <t>Набір реагента для визначення протромбінового часу 6*2 мл  HemoStar</t>
  </si>
  <si>
    <t>Смужки індикаторні для визначення кетонових тіл  в сечі</t>
  </si>
  <si>
    <t>Метиленовий синій</t>
  </si>
  <si>
    <t>Порошок  водорозчинний</t>
  </si>
  <si>
    <t>Натрій лимоно –кислий 3-заміщени</t>
  </si>
  <si>
    <t>Білі кристали</t>
  </si>
  <si>
    <t>Кг.</t>
  </si>
  <si>
    <t>Набір реактивів  для визначення тимолової проби</t>
  </si>
  <si>
    <t>Набір реактивів  для визначення серомукоїдів в сироватці крові (турбодиметричний метод)</t>
  </si>
  <si>
    <t>Набір реактивів для визначення азопірамової проби</t>
  </si>
  <si>
    <t xml:space="preserve">Смужки індикаторні для визначення pH в сечі </t>
  </si>
  <si>
    <t>Кальцій НР 013.01</t>
  </si>
  <si>
    <t>Набір для кількісного визначення загального кальцію в біологічних рідинах, розрахований на 106 напівмікро ,50 макровизначень.</t>
  </si>
  <si>
    <t>Тест система для визначення ПСА (імунофлуоресцнтний метод)</t>
  </si>
  <si>
    <t>Визначення ПСА імунофлуоресцнтний метод №25 LS-1100</t>
  </si>
  <si>
    <t>Тест система для визначення D-димер (імунофлуоресцнтний метод)</t>
  </si>
  <si>
    <t>Визначення D-димера імунофлуоресцнтний метод №25 LS-110</t>
  </si>
  <si>
    <t>Тест система для визначення глікований гемоглобін (імунофлуоресцнтний метод)</t>
  </si>
  <si>
    <t>Визначення  глісованого гемоглобіну імунофлуоресцнтний метод №25 LS-1100</t>
  </si>
  <si>
    <t>Тест система для визначення СРБ (імунофлуоресцнтний метод)</t>
  </si>
  <si>
    <t>Визначення СРБ імунофлуоресцнтний метод №25 LS-1100</t>
  </si>
  <si>
    <t>Контрольна плазма нормальна HemoStar</t>
  </si>
  <si>
    <t>Контрольна плазма для визначення протромбінового часу 6*1мл</t>
  </si>
  <si>
    <t>Контрольна плазма патологія HemoStar</t>
  </si>
  <si>
    <t>Забарвлення за Цілем-Нільсеном HP030.03</t>
  </si>
  <si>
    <t>Набір для диференціального зафарбовування мікробактерій туберкульозу в клініко-діагностичних лабораторіях, розрахований на проведення 200 аналізів</t>
  </si>
  <si>
    <t>Тест система для визначення прокальцитоніну (імунофлуоресцнтний метод)</t>
  </si>
  <si>
    <t>Визначення прокальцитоніну імунофлуоресцнтний метод №25 LS-1100</t>
  </si>
  <si>
    <t>33600000-6 Фармацевтична продукція: наркотичні засоби та психотропні речовини</t>
  </si>
  <si>
    <t>24455000-8 — Дезинфекційні засоби</t>
  </si>
  <si>
    <t>Праймдезим 5 л. Аніозим 5л</t>
  </si>
  <si>
    <t>ДК 021:2015 33140000-3 Медичні матеріали</t>
  </si>
  <si>
    <t>пог.м</t>
  </si>
  <si>
    <t>Рукавиці стер. хір. р.7 з пудрою</t>
  </si>
  <si>
    <t>Рукавиці стер. хір. р.7,5 з пудрою</t>
  </si>
  <si>
    <t>Рукавиці стер. хір. р.8 з пудрою</t>
  </si>
  <si>
    <t>Ланцет захищений  р.26 G (1,8  мм глибина) жовтий №1</t>
  </si>
  <si>
    <t>Катетер Фолея №22 (3-ох ходовий)</t>
  </si>
  <si>
    <t>Катетер Фолея №24 (3-ох ходовий)</t>
  </si>
  <si>
    <t>Комплект для епідуральної анестезії G18</t>
  </si>
  <si>
    <t>Нитка хірургічна, USP2/0 (М3), ПОЛІАМІД, кручена, біла, (котушка 250 метрів) (131316)</t>
  </si>
  <si>
    <t>Нитка хірургічна, USP1 (М4), ПОЛІАМІД, кручена, біла, (котушка 130 метрів) (131318)</t>
  </si>
  <si>
    <t>Нитка хірургічна, USP2 (М5), ПОЛІАМІД, кручена, біла, (котушка 80 метрів) (131319)</t>
  </si>
  <si>
    <t>Нитка хірургічна стерильна,  USP0 (М4), КЕТГУТ ПОЛІРОВАНИЙ,   відрізок 1,5м (262001)</t>
  </si>
  <si>
    <t>W9431 Вікрил фіолетовий 90см M4 USP1 1-голка CT, Taper Point, 40мм</t>
  </si>
  <si>
    <t>Нитка хірургічна стерильна,  USP1 (М4), ПОЛІПРОПІЛЕН, монофіламентна, синя, відрізок 1,5м (252001)</t>
  </si>
  <si>
    <t>Нитка хірургічна стерильна,  USP2/0 (М3), ПОЛІПРОПІЛЕН, монофіламентна, синя, відрізок 1,5м (252003)</t>
  </si>
  <si>
    <t>Нитка хірургічна стерильна,  USP3/0 (М2), ПОЛІПРОПІЛЕН, монофіламентна, синя, відрізок 1,5м (252004)</t>
  </si>
  <si>
    <t>Нитка хірургічна стерильна,  USP2 (М5), ПОЛІПРОПІЛЕН, монофіламентна, синя, відрізок 1,5м (252005)</t>
  </si>
  <si>
    <t>Пов’язка гідрогелева медична стерильна, 2мм, армована сіткою, РАНОЗАГОЮЮЧА (з метилурацилом), 6х10 см</t>
  </si>
  <si>
    <t>Голка атравматична, USP2/0 (М3), 26 мм, 1/2, колюча, кругле тіло, одноголкова, ПОЛІПРОПІЛЕН, монофіламентна, синя, 75 см (452041)</t>
  </si>
  <si>
    <t>Голка атравматична, USP3/0 (М2), 26 мм, 1/2, колюча, кругле тіло, одноголкова, ПОЛІПРОПІЛЕН, монофіламентна, синя, 75 см (452108)</t>
  </si>
  <si>
    <t xml:space="preserve">Комплект акушерський № 1, стерильний    (одноразового використання)                                                                                               </t>
  </si>
  <si>
    <t xml:space="preserve">Комплект для кесарева розтину № 26.2 стерильний  (одноразового використання) </t>
  </si>
  <si>
    <t xml:space="preserve">Фартух медичний 110 см, стерильний  (одноразового використання) </t>
  </si>
  <si>
    <t>Халат 140 см, СМС щ.30 г/м2, XXL, рукав-манжет 1 шт</t>
  </si>
  <si>
    <t>Халат 140 см, СМС щ.30 г/м2, XL, рукав-манжет 1 шт</t>
  </si>
  <si>
    <t>Халат 140 см, СМС щ.30 г/м2, L, рукав-манжет 1 шт</t>
  </si>
  <si>
    <t>Халат 140 см, СМС щ.30 г/м2, М, рукав-манжет 1 шт</t>
  </si>
  <si>
    <t>Халат 140 см, СМС щ.30 г/м2, S, рукав-манжет 1 шт</t>
  </si>
  <si>
    <t>Халат 130 см, із переднею вологонепроникною поверхнею, XL, 1 шт.</t>
  </si>
  <si>
    <t xml:space="preserve">Шапочка -берет, нестерильна </t>
  </si>
  <si>
    <t>Набір гінекологічний одноразовий(пеленка+рукавиці)стер.</t>
  </si>
  <si>
    <t>Предметне скло №50</t>
  </si>
  <si>
    <t>Cтрічка діаграмна 112*100*150</t>
  </si>
  <si>
    <t>Cтрічка діаграмна 112*120*250</t>
  </si>
  <si>
    <t>Силіконовий катетер Фолея 3-х ходовий 22</t>
  </si>
  <si>
    <t>Силіконовий катетер Фолея 3-х ходовий 24</t>
  </si>
  <si>
    <t>Комплект для цистостоиії 12 F</t>
  </si>
  <si>
    <t xml:space="preserve">ДК 021:2015: 33140000-3 Медичні матеріали: </t>
  </si>
  <si>
    <t xml:space="preserve">Нітиноловий кошик для літоекстракції без кінчика - 3french 2 штуки  </t>
  </si>
  <si>
    <t xml:space="preserve">Нітиноловий кошик для літоекстракції з кінчиком - 3french  2 штуки  </t>
  </si>
  <si>
    <t xml:space="preserve">Нітиноловий провідник з прямим кінчиком (Кобра) - 0.032"  1 штуки </t>
  </si>
  <si>
    <t xml:space="preserve">Силіконовий катетер Фолея 2-х ходовий (відкритий кінчик) - 12french 20 штуки </t>
  </si>
  <si>
    <t>ДК 021:2015: 33170000-2 - Обладнання для анестезії та реанімації: 33171000-9 - Анестезійні та реанімаційні інструменти:</t>
  </si>
  <si>
    <t>Голка з ізоляцією для провідникової анестезії А22G*2'', 0,70*50мм</t>
  </si>
  <si>
    <t>Голка з ізоляцією для провідникової анестезії А21G*4'', 0,80*100мм</t>
  </si>
  <si>
    <t>Голка з ізоляцією для провідникової анестезії А21G*2'', 0,80*50мм</t>
  </si>
  <si>
    <t>32350000-1 - Частини до аудіо- та відеообладнання</t>
  </si>
  <si>
    <t>Плівка радіографічна стоматологічна медична 3*4 №150</t>
  </si>
  <si>
    <t>Суха медична плівка DRYSTAR DT 5.000I B 100 20x25cmх100 (8х10 дюймів)</t>
  </si>
  <si>
    <t>Суха медична плівка DRYSTAR DT 5.000I B 100 35x43cmх100 (14х17 дюймів)</t>
  </si>
  <si>
    <t>Формалін 37% 5,5 кг</t>
  </si>
  <si>
    <t>24320000-3: Основні органічні хімічні речовини: Формалін 37% 5,5 кг</t>
  </si>
  <si>
    <t>33696000-5 Реактиви та контрастні речовини:</t>
  </si>
  <si>
    <t>33140000-3 Медичні матеріали</t>
  </si>
  <si>
    <t>Обладнання для анестезії та реанімації</t>
  </si>
  <si>
    <t>33170000-2 - Обладнання для анестезії та реанімації: 33171000-9 - Анестезійні та реанімаційні інструменти</t>
  </si>
  <si>
    <t>33140000-3 Медичні матеріали:</t>
  </si>
  <si>
    <t>24455000-8 — Дезинфекційні засоби:</t>
  </si>
  <si>
    <t>Родзинки , посипка</t>
  </si>
  <si>
    <t>було</t>
  </si>
  <si>
    <t>Субсидії та поточні трансферти підприємствам</t>
  </si>
  <si>
    <t>Поточні видатки в т.ч.:</t>
  </si>
  <si>
    <t>Проведення завершальних робіт із поточного ремонту з заміною водогрійного твердопаливного котла</t>
  </si>
  <si>
    <t>Встановлення енергозберігаючих вікон у харчоблоці</t>
  </si>
  <si>
    <t>Проведення поточного ремонту медичних кабінетів</t>
  </si>
  <si>
    <t xml:space="preserve">Проведення поточного ремонту мережі зливової каналізації будівлі лікарні </t>
  </si>
  <si>
    <t>програма підтримки та розвитку вторинної медичної допомоги</t>
  </si>
  <si>
    <t>Програма підтримки та розвитку вторинної медичної допомоги</t>
  </si>
  <si>
    <t xml:space="preserve">Оплата комунальних послуг та енергоносіїв </t>
  </si>
  <si>
    <t xml:space="preserve">оплата комунальних послуг та енергоносіїв </t>
  </si>
  <si>
    <t>Послуги з пусконалагоджувальних та режимно-налагоджувальних робіт водогрійного котла</t>
  </si>
  <si>
    <t xml:space="preserve">Ціна </t>
  </si>
  <si>
    <t>Електроенергія</t>
  </si>
  <si>
    <t>Тріска паливна</t>
  </si>
  <si>
    <t>Освітлювальна площа</t>
  </si>
  <si>
    <t>Опалювальна площа</t>
  </si>
  <si>
    <t>Площа орендарів</t>
  </si>
  <si>
    <t>Ціна</t>
  </si>
  <si>
    <t>Сумв (грн)</t>
  </si>
  <si>
    <t>Власні кошти (грн.)</t>
  </si>
  <si>
    <t>Місцевий бюджет, грн.</t>
  </si>
  <si>
    <t>Інші енергоносії (утилізація сміття)</t>
  </si>
  <si>
    <t xml:space="preserve">Загальна площа </t>
  </si>
  <si>
    <t>Інші енергоносії разом</t>
  </si>
  <si>
    <t>Тарифікаційний список працівників КП "Рожищенська багатопрофільна лікарня" на 01 січня 2024 року</t>
  </si>
  <si>
    <t>Премії</t>
  </si>
  <si>
    <t>Економіст</t>
  </si>
  <si>
    <t>Малофєєв О.М.</t>
  </si>
  <si>
    <t>Хомярчук А.А.</t>
  </si>
  <si>
    <t>Вірна І.В.</t>
  </si>
  <si>
    <t>Фахівець з питань мобілізаційної роботи</t>
  </si>
  <si>
    <t>Троць К.М.</t>
  </si>
  <si>
    <t>Герасим'як В.І.</t>
  </si>
  <si>
    <t>Гнатюк В.В.</t>
  </si>
  <si>
    <t>Кобзар В.С.</t>
  </si>
  <si>
    <t>Пастушок І.Т.</t>
  </si>
  <si>
    <t>Садовий М.І.</t>
  </si>
  <si>
    <t>Свінтуховський О.І.</t>
  </si>
  <si>
    <t>Сидорук О.Б.</t>
  </si>
  <si>
    <t>Ткачук В.В.</t>
  </si>
  <si>
    <t>ІІ категорія акушерство і гінекологія № 343-ос/к - 06.12.2022 продовжено</t>
  </si>
  <si>
    <t>вища категорія терапія № 130-ос/к - 26.06.2023</t>
  </si>
  <si>
    <t>І категорія ультразвукова діагностика № 301-ос/к - 26.10.2017 продовжено</t>
  </si>
  <si>
    <t>лікар спеціаліст 30.11.2022</t>
  </si>
  <si>
    <t>лікар-спеціаліст наркологія № 283-у від 06.11.2020</t>
  </si>
  <si>
    <t>Москаленко В.В.</t>
  </si>
  <si>
    <t>вища категорія 28.09.2023</t>
  </si>
  <si>
    <t>Басалик Л. І.</t>
  </si>
  <si>
    <t>ІІ категорія офтальмологія № 281-ос/к - 19.09.2023 продовжено</t>
  </si>
  <si>
    <t>лікар спеціаліст  19.06.2023</t>
  </si>
  <si>
    <t>Черешневська А.С.</t>
  </si>
  <si>
    <t>1 категорія 21.12.2018</t>
  </si>
  <si>
    <t>Давидюк О.М.</t>
  </si>
  <si>
    <t>Бенещук Н.Л.</t>
  </si>
  <si>
    <t>вища категорія сестринська справа № 346-ос/к - 14.12.2017 продовжено</t>
  </si>
  <si>
    <t>ІІ категорія акушерство і гінекологія № 343-ос/к - 13.12.2017 продовжено</t>
  </si>
  <si>
    <t>лікар-спеціаліст 21.06.2023</t>
  </si>
  <si>
    <t>Кльоц О.П.</t>
  </si>
  <si>
    <t>Томашевський М.П.</t>
  </si>
  <si>
    <t>вища категорія неонатологія № 359-ос/к - 27.12.2017 продовжено</t>
  </si>
  <si>
    <t>вища категорія акушерська справа № 293-ос/к - 12.10.2017 продовжено</t>
  </si>
  <si>
    <t>І категорія сестринська справа № 322-ос/к - 23.11.2017 продовжено</t>
  </si>
  <si>
    <t>вища категорія сестринська справа № 346-ос/к 14.12.2017 продовжено</t>
  </si>
  <si>
    <t>вища категорія сестринська справа № 95-ос/к - 17.05.2018 продовжено</t>
  </si>
  <si>
    <t>вища категорія сестринська справа № 67-ос/к - 12.04.2018 продовжено</t>
  </si>
  <si>
    <t>вища категорія сестринська справа № 354-ос/к - 29.11.2016 продовжено</t>
  </si>
  <si>
    <t>Умша С.М.</t>
  </si>
  <si>
    <t>1 категорія 14.08.2023</t>
  </si>
  <si>
    <t>Савчук Н.М.</t>
  </si>
  <si>
    <t>І категорія сестринська справа № 363-ос/к - 22.12.2017 продовжено</t>
  </si>
  <si>
    <t>вища категорія сестринська справа № 49-ос/к - 15.03.2018 продовжено</t>
  </si>
  <si>
    <t>вища категорія сестринська справа № 204-ос/к - 12.07.2018 продовжено</t>
  </si>
  <si>
    <t>Прощерук Н.О.</t>
  </si>
  <si>
    <t>1 категорія 26.09.2019</t>
  </si>
  <si>
    <t>лікар-спеціаліст хірургія № 2018 -з - 22.06.2021</t>
  </si>
  <si>
    <t>Боярин Б.Л.</t>
  </si>
  <si>
    <t>ІІ категорія хірургія № 97-ос/к - 29.06.2017 продовжено</t>
  </si>
  <si>
    <t>вища категорія сестринська справа № 269-ос/к - 14.09.2017 продовжено</t>
  </si>
  <si>
    <t>вища категорія сестринська справа № 314-ос/к - 09.11.2017 продовжено</t>
  </si>
  <si>
    <t>І категорія сестринська справа (операційна) № 16-ос/к - 14.12.2019</t>
  </si>
  <si>
    <t>Майструк О.В.</t>
  </si>
  <si>
    <t>вища категорія сестринська справа (операційна) № 336-ос/к - 07.12.2017 продовжено</t>
  </si>
  <si>
    <t>Ліщинська Л.І.</t>
  </si>
  <si>
    <t>вища категорія 30.09.2021</t>
  </si>
  <si>
    <t>Дейна С.О.</t>
  </si>
  <si>
    <t>Юфімюк К.В.</t>
  </si>
  <si>
    <t>вища категорія 11.04.2019</t>
  </si>
  <si>
    <t>1 категорія13.02.2020</t>
  </si>
  <si>
    <t>Поліщук Т.А.</t>
  </si>
  <si>
    <t>вища категорія 11.04.2020</t>
  </si>
  <si>
    <t>лікар-спеціаліст внутрішні хвороби №1433-з  21.06.20203</t>
  </si>
  <si>
    <t>Романюк О.В.</t>
  </si>
  <si>
    <t>Лаборант клінічної діагностики</t>
  </si>
  <si>
    <t>ІІ категорія лабораторна справа (клініка) № 51-ос/к - 16.03.2018 продовжено</t>
  </si>
  <si>
    <t>Лясковська Н.К.</t>
  </si>
  <si>
    <t>І категорія сестринська справа № 392-ос/к - 01.11.2022</t>
  </si>
  <si>
    <t>вища категорія 07.10.21</t>
  </si>
  <si>
    <t>Росоловська Є.П.</t>
  </si>
  <si>
    <t>Олександр МАЛОФЄЄВ</t>
  </si>
  <si>
    <t>Анжеліка ХОМЯРЧУК</t>
  </si>
  <si>
    <t>Тарифікаційний список працівників КП "Рожищенська багатопрофільна лікарня" на 01 квітя 2024 року</t>
  </si>
  <si>
    <t>Додаток до програми підтримки та розвитку вторинної медичної допомоги на території Рожищенської територіальної громади на 2024 рік</t>
  </si>
  <si>
    <t xml:space="preserve">Розрахунок видатків на оплату праці на 2024 рік </t>
  </si>
  <si>
    <t>Премії та інші заохочення</t>
  </si>
  <si>
    <t xml:space="preserve"> Адміністративні витрати</t>
  </si>
  <si>
    <t>Оплата праці</t>
  </si>
  <si>
    <t>Орієнтовні обсяги фінансування Програми підтримки та розвитку вторинної медичної допомоги на території Рожищенської територіальної громади на 2024 рік</t>
  </si>
  <si>
    <t>Затверджено на 2024 рік</t>
  </si>
  <si>
    <t>Потреба на 2024 рік</t>
  </si>
  <si>
    <t>Придбання відеоендоскопічного комплексу з відеогастроскопом</t>
  </si>
  <si>
    <t>1 кв</t>
  </si>
  <si>
    <t>4 кв</t>
  </si>
  <si>
    <t>Доплата до постанови 28 (13500, 20000)</t>
  </si>
  <si>
    <t>2кв</t>
  </si>
  <si>
    <t>3кв</t>
  </si>
  <si>
    <t>оп</t>
  </si>
  <si>
    <t>єсв</t>
  </si>
  <si>
    <t>Показник/Період</t>
  </si>
  <si>
    <t>за рік</t>
  </si>
  <si>
    <t>Примітка</t>
  </si>
  <si>
    <t xml:space="preserve">* Лікарські засоби * Вироби медичного призначення та допоміжні засоби,тощо *Імунобіологічні препарати *Дезинфекційні засоби </t>
  </si>
  <si>
    <t xml:space="preserve">* Продукти харчування </t>
  </si>
  <si>
    <t xml:space="preserve">* Інші операційні витрати </t>
  </si>
  <si>
    <t>* Видатки на відрядження</t>
  </si>
  <si>
    <t>Оплата інших енергоносіїв</t>
  </si>
  <si>
    <t>* Тріска паливна</t>
  </si>
  <si>
    <t>* Утилізація сміття</t>
  </si>
  <si>
    <t>сума повинна співвідноситись із сумою отриманого доходу на ці заходи</t>
  </si>
  <si>
    <t>6000 * 12 = 72000 У 2022 - 5204,55</t>
  </si>
  <si>
    <t xml:space="preserve">Інші поточні видатки </t>
  </si>
  <si>
    <t>* Засоби індивідуального захисту * Інші матеріали * Купівельні напівфабрикати , * Паливо * Будівельні матеріали * Інші матеріали</t>
  </si>
  <si>
    <t>вказати суму, якщо такий фонд передбачено Статутом/колективним договором</t>
  </si>
  <si>
    <t>Витрати на охорону праці</t>
  </si>
  <si>
    <t>відповідно до Закону України "Про охорону праці" (0.5% від фонду оплати праці за попередній рік)</t>
  </si>
  <si>
    <t xml:space="preserve">Сума ПДВ до Державного бюджету України </t>
  </si>
  <si>
    <t>вказати суму, якщо даний податок сплачується</t>
  </si>
  <si>
    <t>Сума плати за землю</t>
  </si>
  <si>
    <t>Транспортний податок з юридичних осіб</t>
  </si>
  <si>
    <t>Податок на нерухомість</t>
  </si>
  <si>
    <t>Інші податки, збори та платежі на користь держави (екол)</t>
  </si>
  <si>
    <t>вказати суму таких податків і зборів, за виключенням ЄСВ</t>
  </si>
  <si>
    <t>Капітальне будівництво</t>
  </si>
  <si>
    <t>Придбання (виготовлення) основних засобів</t>
  </si>
  <si>
    <t>вказати інші, які не входять до Табелю МТО  (вкладка "03_МТО")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</si>
  <si>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</si>
  <si>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</si>
  <si>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</si>
  <si>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відповідно до рахунку 15 "Капітальні інвестиції"</t>
  </si>
  <si>
    <t>відповідно до рахунків 10 "Основні засоби", 11 "Інші необоротні матеріальні активи", 12 "Нематеріальні активи"</t>
  </si>
  <si>
    <t xml:space="preserve">Амортизація </t>
  </si>
  <si>
    <t>відповідно до рахунку 13 "Знос (амортизація) необоротних активів"</t>
  </si>
  <si>
    <t>КАПІТАЛЬНІ ВИДАТКИ</t>
  </si>
  <si>
    <t>4кв</t>
  </si>
  <si>
    <t>* Електроенергія</t>
  </si>
  <si>
    <t>1кв</t>
  </si>
  <si>
    <t>Пилипенко Л.І.</t>
  </si>
  <si>
    <t>ІІІ розряд</t>
  </si>
  <si>
    <t>Витрати на канцтовари, офісне приладдя та устаткування</t>
  </si>
  <si>
    <t xml:space="preserve"> ВИДАТКИ та ПОКАЗНИКИ БАЛАНСУ ПІДПРИЄМСТВА</t>
  </si>
  <si>
    <t>Електромонтер з ремонту та обслуговування електроустаткування</t>
  </si>
  <si>
    <t>ІV розряд</t>
  </si>
  <si>
    <t>Сума податків та зборів до Державного бюджету України (податкові платежі)</t>
  </si>
  <si>
    <t>Всього доходи</t>
  </si>
  <si>
    <t>назва</t>
  </si>
  <si>
    <t>Супрун Ю.В.</t>
  </si>
  <si>
    <t>Березюк Л.М.</t>
  </si>
  <si>
    <t>Нічні (водії, маниністи котельні)</t>
  </si>
  <si>
    <t>Нічні (молодший медперсонал)</t>
  </si>
  <si>
    <t>Енергоносії разом</t>
  </si>
  <si>
    <t>Енергоносії разом місцевий бюджет</t>
  </si>
  <si>
    <t>ЗП машиністи кочегари котельні на 01.01.23</t>
  </si>
  <si>
    <t>ЗП машиністи кочегари котельні на 01.04.23</t>
  </si>
  <si>
    <t>ЗП машиністи насосних установок на 01.01.23</t>
  </si>
  <si>
    <t>ЗП машиністи насосних установок на 01.04.24</t>
  </si>
  <si>
    <t>Зп прибиральники службових приміщень та території на 01.01.23</t>
  </si>
  <si>
    <t>Зп прибиральники службових приміщень та території на 01.04.24</t>
  </si>
  <si>
    <t>Площа орендарі</t>
  </si>
  <si>
    <t>Загальна площа</t>
  </si>
  <si>
    <t>Експлуатаційні на 01.01.24</t>
  </si>
  <si>
    <t>Площа для роз. експ.</t>
  </si>
  <si>
    <t>Експлуатаційні на 01.04.25</t>
  </si>
  <si>
    <t>Експлуатаційні (кочегари)на 01.01.23</t>
  </si>
  <si>
    <t>Експлуатаційні(кочегари) на 01.04.24</t>
  </si>
  <si>
    <t>з ПДВ</t>
  </si>
  <si>
    <t>Надходження за надання послуг МД, що не входять до програми медичних гарантій, грн. (з ПДВ)</t>
  </si>
  <si>
    <t>Надходження за надання послуг МД, що не входять до програми медичних гарантій, грн. (без ПДВ)</t>
  </si>
  <si>
    <t>Податки та збори</t>
  </si>
  <si>
    <t>Капітальний ремонт реанімаційного відділення лікарні комунального підприємства "Рожищенська багатопрофільна лікарня" Рожищенської міської ради вул. Коте Шилокадзе, будинок 19, місто Рожище, Луцький район, Волинська область</t>
  </si>
  <si>
    <t>Рентна плата за користування надрами для видобування корисних копалин (вода)</t>
  </si>
  <si>
    <t>Кодиціонер</t>
  </si>
  <si>
    <t>ДК:021:2015 42510000-4</t>
  </si>
  <si>
    <t>ФІНАНСОВИЙ ПЛАН ПІДПРИЄМСТВА НА  2024 рік</t>
  </si>
  <si>
    <t>Олександр Малофєєв 0685629020</t>
  </si>
  <si>
    <t>Реабілітаційна допомога дорослим та дітям у стаціонарних умовах</t>
  </si>
  <si>
    <t>Реалібітаційна допомога дорослим і дітям у амбулаторних умовах</t>
  </si>
  <si>
    <t>Всього видатки</t>
  </si>
  <si>
    <t>Цитоскопія</t>
  </si>
  <si>
    <t>Медичний огляд осіб, який організовує ТЦКСП</t>
  </si>
  <si>
    <t>від  ______________________ 2024 року № _______</t>
  </si>
  <si>
    <t>Electrolytes in combination with other drugs</t>
  </si>
  <si>
    <t>РЕОСОРБІЛАКТ® розчин для інфузій, по 200 мл у пляшках скляних</t>
  </si>
  <si>
    <t>Mannitol</t>
  </si>
  <si>
    <t>МАНІТ розчин для інфузій, 150 мг/мл, по 200 мл у пляшках</t>
  </si>
  <si>
    <t>Пентоксифілін Pentoxifylline</t>
  </si>
  <si>
    <t>ЛАТРЕН® розчин для інфузій, 0,5 мг/мл, по 200 мл у пляшках</t>
  </si>
  <si>
    <t>РЕОПОЛІГЛЮКІН розчин для інфузій, по 200 мл у пляшках</t>
  </si>
  <si>
    <t>НЕЙРОЦИТИН® розчин для інфузій, по 100 мл у пляшці; по 1 пляшці в пачці</t>
  </si>
  <si>
    <t>Левофлоксацин Levofloxacin</t>
  </si>
  <si>
    <t xml:space="preserve">ЛЕФЛОЦИН® розчин для інфузій, 5 мг/мл, по 100 мл </t>
  </si>
  <si>
    <t xml:space="preserve">ЛЕФЛОЦИН® розчин для інфузій, 5 мг/мл, по 150 мл </t>
  </si>
  <si>
    <t>Метронідазол Metronidazole</t>
  </si>
  <si>
    <t>МЕТРОНІДАЗОЛ розчин для інфузій, 5 мг/мл, по 100 мл у пляшках скляних</t>
  </si>
  <si>
    <t>Глюкоза Glucose</t>
  </si>
  <si>
    <t>ГЛЮКОЗА розчин для інфузій 50 мг/мл, по 400 мл у пляшках скляних</t>
  </si>
  <si>
    <t>ГЛЮКОЗА розчин для інфузій 50 мг/мл, по 200 мл у пляшках скляних</t>
  </si>
  <si>
    <t>Comb drug</t>
  </si>
  <si>
    <t>ГЕКОТОН® розчин для інфузій, по 400 мл у пляшках скляних</t>
  </si>
  <si>
    <t>Натрію гідрокарбонат    Sodium bicarbonate</t>
  </si>
  <si>
    <t>СОДА-БУФЕР® розчин для інфузій, 42 мг/мл, по 100 мл в пляшках скляних</t>
  </si>
  <si>
    <t>Гідроксіетилкрохмаль Hydroxyethylstarch</t>
  </si>
  <si>
    <t>ГЕКОДЕЗ® розчин для інфузій, 60 мг/мл, по 400 у пляшка скляних</t>
  </si>
  <si>
    <t>ГЕКОДЕЗ® розчин для інфузій, 60 мг/мл, по 200 мл у пляшка скляних</t>
  </si>
  <si>
    <t>Gelatin agents</t>
  </si>
  <si>
    <t>ВОЛЮТЕНЗ® розчин для інфузій, по 500 мл</t>
  </si>
  <si>
    <t>Натрію хлорид, калію хлорид, кальцію хлорид Comb drug</t>
  </si>
  <si>
    <t>РОЗЧИН РІНГЕРА розчин для інфузій, по 400 мл у пляшках</t>
  </si>
  <si>
    <t>Натрію хлорид, калію хлорид, натрію гідрокарбонат</t>
  </si>
  <si>
    <t>ТРИСОЛЬ розчин для інфузій, по 400 мл у пляшках</t>
  </si>
  <si>
    <t>ТРИСОЛЬ розчин для інфузій, по 200 мл у пляшках</t>
  </si>
  <si>
    <t>СОРБІЛАКТ® розчин для інфузій, по 200 мл у пляшках</t>
  </si>
  <si>
    <t>Аргініну гідрохлорид Arginine hydrochloride</t>
  </si>
  <si>
    <t>ТІВОРТІН розчин для інфузій, 42 мг/мл, по 100 мл у пляшці; по 1 пляшці у пачці</t>
  </si>
  <si>
    <t>Метамізолу натрій</t>
  </si>
  <si>
    <t>АНАЛЬГІН розчин для ін'єкцій, 500 мг/мл, по 2 мл №10</t>
  </si>
  <si>
    <t>Транексамова кислота Tranexamic acid</t>
  </si>
  <si>
    <t>САНГЕРА розчин для ін'єкцій, 100 мг/мл, по 5 мл №5</t>
  </si>
  <si>
    <t>САНГЕРА розчин для ін'єкцій, 100 мг/мл, по 10 мл №5</t>
  </si>
  <si>
    <t>Ондансетрону гідрохлориду дигідрат</t>
  </si>
  <si>
    <t>ЮНОРМ® розчин для ін'єкцій, 2,0 мг/мл по 2 мл №5</t>
  </si>
  <si>
    <t>ЮНОРМ® розчин для ін'єкцій, 4,0 мг/мл по 4 мл №5</t>
  </si>
  <si>
    <t>Магнію сульфат Magnesium sulfate</t>
  </si>
  <si>
    <t>МАГНІЮ СУЛЬФАТ розчин для ін'єкцій, 250 мг/мл, по 5 мл №10</t>
  </si>
  <si>
    <t>Сальбутамол salbutamol</t>
  </si>
  <si>
    <t>НЕБУТАМОЛ® розчин для інгаляцій, 1 мг/мл, по 2 мл №40</t>
  </si>
  <si>
    <t>Бупівакаїн</t>
  </si>
  <si>
    <t>ЛОНГОКАЇН® розчин для ін'єкцій, 5,0 мг/мл, по 5 мл №10</t>
  </si>
  <si>
    <t>ЛОНГОКАЇН ХЕВІ розчин для ін'єкцій, 5,0 мг/мл, по 5 мл №5</t>
  </si>
  <si>
    <t>Enoxaparin</t>
  </si>
  <si>
    <t>НОВОПАРИН® розчин для ін'єкцій, 100 мг (10 000 анти-фактор Ха МО)/мл, по 0,4 мл (40 мг) у попередньо наповненому шприці №10</t>
  </si>
  <si>
    <t>флакон</t>
  </si>
  <si>
    <t>Cefoperazone and beta-lactamase inhibitor</t>
  </si>
  <si>
    <t>ЛАКСЕРС порошок для розчину для ін'єкцій по 1000 мг/ 1000 мг, 1 флакон з порошком у пачці</t>
  </si>
  <si>
    <t>Moxifloxacin</t>
  </si>
  <si>
    <t>МАКСІЦИН® концентрат для розчину для інфузій, 400 мг/20 мл, по 20 мл у флаконі; по 1 флакону у пачці з картону</t>
  </si>
  <si>
    <t xml:space="preserve">Омепразол Omeprazole
</t>
  </si>
  <si>
    <t>ОМЕПРАЗОЛ порошок для розчину для ін'єкцій 40 мг по 1 флакону у картонній коробці</t>
  </si>
  <si>
    <t>Прокаїн procaine</t>
  </si>
  <si>
    <t xml:space="preserve">НОВОКАЇН розчин для ін'єкцій, 2,5 мг/мл, по 200 мл </t>
  </si>
  <si>
    <t>ТУРУСОЛ® розчин для іригацій, по 3000 мл у контейнерах полімерних</t>
  </si>
  <si>
    <t>контейнер</t>
  </si>
  <si>
    <t>Кислота амінокапронова    Aminocaproic acid</t>
  </si>
  <si>
    <t>КИСЛОТА АМІНОКАПРОНОВА розчин для інфузій, 50 мг/мл, по 100 мл</t>
  </si>
  <si>
    <t>Dexketoprofen</t>
  </si>
  <si>
    <t>Кейдекс Ін'єкт, розчин для ін’єкцій, 25 мг/мл по 2 мл в ампулі №5</t>
  </si>
  <si>
    <t>ПЕНТОКСИФІЛІН розчин для ін’єкцій, 20 мг/мл, по 5 мл №10</t>
  </si>
  <si>
    <t>ВСЬОГО:</t>
  </si>
  <si>
    <t>33600000-6 Фармацевтична продукція ( Наркотичні засоби та психотропні речовини)</t>
  </si>
  <si>
    <t>Хімічна продукція</t>
  </si>
  <si>
    <t xml:space="preserve">Предмети , матеріали та інвентар </t>
  </si>
  <si>
    <t>Абразивні вироби</t>
  </si>
  <si>
    <t>14810000-2</t>
  </si>
  <si>
    <t>Обприскувальні апарати для використання у сільському господарстві та рослинництві</t>
  </si>
  <si>
    <t>16400000-9</t>
  </si>
  <si>
    <t>Частини для сільськогосподарської техніки</t>
  </si>
  <si>
    <t>16810000-6</t>
  </si>
  <si>
    <t>Частини для лісогосподарської техніки</t>
  </si>
  <si>
    <t>16820000-9</t>
  </si>
  <si>
    <t>Аксесуари до робочого одягу</t>
  </si>
  <si>
    <t>18140000-2</t>
  </si>
  <si>
    <t>Взуття різне,крім спортивного та захисного</t>
  </si>
  <si>
    <t>18810000-0</t>
  </si>
  <si>
    <t>Гумові вироби</t>
  </si>
  <si>
    <t>19510000-4</t>
  </si>
  <si>
    <t>Пластмасові вироби</t>
  </si>
  <si>
    <t>19520000-7</t>
  </si>
  <si>
    <t>Поліетиленові мішки та пакети для сміття</t>
  </si>
  <si>
    <t>19640000-4</t>
  </si>
  <si>
    <t>Марки</t>
  </si>
  <si>
    <t>22410000-7</t>
  </si>
  <si>
    <t>Періодичні спеціалізовані видання</t>
  </si>
  <si>
    <t>22211000-2</t>
  </si>
  <si>
    <t>Паперові чи картонні реєстраційні журнали</t>
  </si>
  <si>
    <t>22810000-1</t>
  </si>
  <si>
    <t>Бланки</t>
  </si>
  <si>
    <t>22820000-4</t>
  </si>
  <si>
    <t>Друкована продукція різна</t>
  </si>
  <si>
    <t>22900000-9</t>
  </si>
  <si>
    <t>Фоточутливі, термочутливі та термографічні папір та картон</t>
  </si>
  <si>
    <t xml:space="preserve">22993000-7 </t>
  </si>
  <si>
    <t>Барвники та пігменти</t>
  </si>
  <si>
    <t>24200000-6</t>
  </si>
  <si>
    <t>Оксиди, пероксиди та гідроксиди</t>
  </si>
  <si>
    <t>24210000-9</t>
  </si>
  <si>
    <t>Агрохімічна продукція</t>
  </si>
  <si>
    <t>24450000-3</t>
  </si>
  <si>
    <t>Клеї</t>
  </si>
  <si>
    <t>24910000-6</t>
  </si>
  <si>
    <t>Фотокопіювальне та поліграфічне обладнання для офсетного друку</t>
  </si>
  <si>
    <t xml:space="preserve">30120000-6 </t>
  </si>
  <si>
    <t>30190000-7</t>
  </si>
  <si>
    <t>Електрична аппаратура</t>
  </si>
  <si>
    <t>31210000-1</t>
  </si>
  <si>
    <t>Автоматичні вимикачі</t>
  </si>
  <si>
    <t xml:space="preserve">31211310-4 </t>
  </si>
  <si>
    <t>Електророзподільна та контрольна апаратура</t>
  </si>
  <si>
    <t xml:space="preserve">31200000-8 </t>
  </si>
  <si>
    <t>Комп'ютерне обладнання</t>
  </si>
  <si>
    <t>30230000-0</t>
  </si>
  <si>
    <t>Елементи електричних схем</t>
  </si>
  <si>
    <t>31220000-4</t>
  </si>
  <si>
    <t>Приладдя до ізльованих кабелів</t>
  </si>
  <si>
    <t>31340000-1</t>
  </si>
  <si>
    <t>Електричні лампи розжарення</t>
  </si>
  <si>
    <t>31510000-4</t>
  </si>
  <si>
    <t>Частини до світильників та освітлювального оладнання</t>
  </si>
  <si>
    <t>31530000-0</t>
  </si>
  <si>
    <t>Світильники та освітлювальна арматура</t>
  </si>
  <si>
    <t xml:space="preserve">31520000-7 </t>
  </si>
  <si>
    <t>Електричне приладдя та супутні товари до електричного обладнання</t>
  </si>
  <si>
    <t xml:space="preserve">31680000-6 </t>
  </si>
  <si>
    <t>Електроди</t>
  </si>
  <si>
    <t xml:space="preserve">31711140-6 </t>
  </si>
  <si>
    <t>Частини до аудіо- та відеообладнання</t>
  </si>
  <si>
    <t xml:space="preserve">32350000-1 </t>
  </si>
  <si>
    <t>Мікрофони та гучномовці</t>
  </si>
  <si>
    <t xml:space="preserve">32340000-8 </t>
  </si>
  <si>
    <t>Гальванічні елементи</t>
  </si>
  <si>
    <t>31410000-3</t>
  </si>
  <si>
    <t>Маршрутизатори</t>
  </si>
  <si>
    <t xml:space="preserve">32413100-2 </t>
  </si>
  <si>
    <t>Мережеве обладнання</t>
  </si>
  <si>
    <t xml:space="preserve">32420000-3 </t>
  </si>
  <si>
    <t>Туалетний папір, носові хустинки, рушники для рук і серветки: папір туалетний</t>
  </si>
  <si>
    <t>33760000-5</t>
  </si>
  <si>
    <t>Устаткування для операційних блоків</t>
  </si>
  <si>
    <t xml:space="preserve">33160000-9 </t>
  </si>
  <si>
    <t>Запасні частини до вантажних транспортних засобів, фургонів та легкових автомобілів: колодки тормозні, підшипник, фільтр масла, масло</t>
  </si>
  <si>
    <t>34330000-9</t>
  </si>
  <si>
    <t>Шини для транспортних засобів малої тоннажності</t>
  </si>
  <si>
    <t xml:space="preserve">34351000-2 </t>
  </si>
  <si>
    <t>Детектори та аналізатори</t>
  </si>
  <si>
    <t>38430000-8</t>
  </si>
  <si>
    <t>Шпалери та інші настінні покриття</t>
  </si>
  <si>
    <t>39190000-0</t>
  </si>
  <si>
    <t>Різальні інструменти</t>
  </si>
  <si>
    <t>39240000-6</t>
  </si>
  <si>
    <t>Кухонне приладдя, товари для дому та господарства і приладдя для закладів громадського харчування</t>
  </si>
  <si>
    <t>39220000-0</t>
  </si>
  <si>
    <t>39330000-4</t>
  </si>
  <si>
    <t>Штори,портьєри,кухонні штори та тканинні жалюзі</t>
  </si>
  <si>
    <t>39515000-5</t>
  </si>
  <si>
    <t>Електричні побутові прилади</t>
  </si>
  <si>
    <t>39710000-2</t>
  </si>
  <si>
    <t>Неелектричні побутові прилади</t>
  </si>
  <si>
    <t>39720000-5</t>
  </si>
  <si>
    <t>Герметики</t>
  </si>
  <si>
    <t>39812500-2</t>
  </si>
  <si>
    <t>Продукція для чищення</t>
  </si>
  <si>
    <t>39830000-9</t>
  </si>
  <si>
    <t xml:space="preserve">42968200-1 </t>
  </si>
  <si>
    <t>Арматура трубопровідна: крани, вентилі, клапани та подібні пристрої</t>
  </si>
  <si>
    <t>42130000-9</t>
  </si>
  <si>
    <t>Ручні інструменти пневматичні чи моторизовані</t>
  </si>
  <si>
    <t>42650000-7</t>
  </si>
  <si>
    <t>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</si>
  <si>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42660000-0</t>
  </si>
  <si>
    <t>Електричні інструменти</t>
  </si>
  <si>
    <t>43830000-0</t>
  </si>
  <si>
    <t>Конструкційні матеріали</t>
  </si>
  <si>
    <t>44110000-4</t>
  </si>
  <si>
    <t>Магістралі, трубопроводи, труби, обсадні труби, тюбінги та супутні вироби</t>
  </si>
  <si>
    <t>44160000-9</t>
  </si>
  <si>
    <t>Плити, листи, стрічки та фольга, пов’язані з конструкційними матеріалами</t>
  </si>
  <si>
    <t>44170000-2</t>
  </si>
  <si>
    <t>Цвяхи</t>
  </si>
  <si>
    <t>44192200-4</t>
  </si>
  <si>
    <t>Столярні вироби</t>
  </si>
  <si>
    <t xml:space="preserve">44220000-8 </t>
  </si>
  <si>
    <t>Вікна, двері та супутні вироби: двері вхідні ПВХ білі</t>
  </si>
  <si>
    <t>44221000-5</t>
  </si>
  <si>
    <t>Вироби з дроту</t>
  </si>
  <si>
    <t>44310000-6</t>
  </si>
  <si>
    <t>Кабелі та супутня продукція</t>
  </si>
  <si>
    <t xml:space="preserve">44320000-9 </t>
  </si>
  <si>
    <t>Вироби для ванної кімнати та кухні</t>
  </si>
  <si>
    <t xml:space="preserve">44410000-7 </t>
  </si>
  <si>
    <t>Знаряддя</t>
  </si>
  <si>
    <t>44510000-8</t>
  </si>
  <si>
    <t>Замки, ключі та петлі</t>
  </si>
  <si>
    <t xml:space="preserve">44520000-1 </t>
  </si>
  <si>
    <t>Кріпильні деталі</t>
  </si>
  <si>
    <t>44530000-4</t>
  </si>
  <si>
    <t>Фарби</t>
  </si>
  <si>
    <t xml:space="preserve">44810000-1 </t>
  </si>
  <si>
    <t>Мастики,шпаклівки,замазки та розчинники</t>
  </si>
  <si>
    <t>44830000-7</t>
  </si>
  <si>
    <t>Розчинники</t>
  </si>
  <si>
    <t xml:space="preserve">44832000-1 </t>
  </si>
  <si>
    <t>Вапняк, гіпс і крейда</t>
  </si>
  <si>
    <t>44920000-5</t>
  </si>
  <si>
    <t>Мастильні засоби</t>
  </si>
  <si>
    <t>09210000-4</t>
  </si>
  <si>
    <t>Нафта і дистиляти</t>
  </si>
  <si>
    <t>09130000-9</t>
  </si>
  <si>
    <t>Вироби домашнього текстилю</t>
  </si>
  <si>
    <t>39510000-0</t>
  </si>
  <si>
    <t>Дезінфекційне обладнання</t>
  </si>
  <si>
    <t>Диспенсери засобів гігієни</t>
  </si>
  <si>
    <t>Ремонт ННМА (прикладне програмне забезпечення - ППЗ)</t>
  </si>
  <si>
    <t>Інші операційні витрати</t>
  </si>
  <si>
    <t>Інше ТО та обслуговування</t>
  </si>
  <si>
    <t xml:space="preserve">Інші послуги </t>
  </si>
  <si>
    <t>ЛІКАРСЬКІ ЗАСОБИ</t>
  </si>
  <si>
    <t>Офісне устаткування та приладдя різне + папір</t>
  </si>
  <si>
    <t>Олександр МОРГУН</t>
  </si>
  <si>
    <t>Dextran</t>
  </si>
  <si>
    <t>фл.</t>
  </si>
  <si>
    <t>Набір реагентів для визначення активності аланінамінотрансферази в сироватці, крові, АЛаТ (Райтмана-Френкеля метод) НР001.01</t>
  </si>
  <si>
    <t>шт.</t>
  </si>
  <si>
    <t>Білірубін загальний і прямий- метод Ієндрашика НР005.01</t>
  </si>
  <si>
    <t>Глюкоза (глюкозо- оксидазний метод) НР009.02</t>
  </si>
  <si>
    <t>Креатинін НР014.01</t>
  </si>
  <si>
    <t>Загальний білок НР010.01</t>
  </si>
  <si>
    <t>Оцтова кислота чда</t>
  </si>
  <si>
    <t>Ревматоїдний фактор (РФ) латекс – тест 200 визначень</t>
  </si>
  <si>
    <t>Сечова кислота НР017.01</t>
  </si>
  <si>
    <t>Набір реагентів для визначення кількості сечовини в сироватці, плазмі крові та сечі СЕЧОВИНА Сімко</t>
  </si>
  <si>
    <t>уп</t>
  </si>
  <si>
    <t>M-30P PROBE CLEANSER      17 мл.</t>
  </si>
  <si>
    <t>M-30D DILUENT 20 л.</t>
  </si>
  <si>
    <t>кан.</t>
  </si>
  <si>
    <t>Контроль на кров  для гематологічних досліджень 3 мл.</t>
  </si>
  <si>
    <t>Ацетон- тест №25</t>
  </si>
  <si>
    <t>Тимолова проба НР021.01</t>
  </si>
  <si>
    <t>Серомукоїди НР019.01</t>
  </si>
  <si>
    <t>Азопірамова проба</t>
  </si>
  <si>
    <t>pH-тест № 50</t>
  </si>
  <si>
    <t>24320000-3: Основні органічні хімічні речовини</t>
  </si>
  <si>
    <t>Лікарський засіб: Спирт етиловий</t>
  </si>
  <si>
    <t>Найменування</t>
  </si>
  <si>
    <t>Спирт 96 % «Біосепт» 100мл.</t>
  </si>
  <si>
    <t>24455000-8 Дезинфекційні засоби</t>
  </si>
  <si>
    <t>АХД 2000 експрес  250мл.з тригером</t>
  </si>
  <si>
    <t>АХД 2000 експрес 1л.з дозуючим пристроєм</t>
  </si>
  <si>
    <t>АХД 2000 експрес 5л.</t>
  </si>
  <si>
    <t>Аеродезин250мл з двофункційним тригером</t>
  </si>
  <si>
    <t>Аеродезин 5л.</t>
  </si>
  <si>
    <t>Мікрасепт 250мл</t>
  </si>
  <si>
    <t>Мікрасепт 5л</t>
  </si>
  <si>
    <t>Бланідас Актив 5л</t>
  </si>
  <si>
    <t>Засіб для дезінфекції рук «Бланідассофтдез» 5л</t>
  </si>
  <si>
    <t>Лізоформін3000 1л</t>
  </si>
  <si>
    <t xml:space="preserve">Бланідаз 300 табл.№ 300 </t>
  </si>
  <si>
    <t>Госпісепттабл.№300</t>
  </si>
  <si>
    <t>Сурфахлор табл. №300</t>
  </si>
  <si>
    <t>Бланідас Актив Ензим 5л</t>
  </si>
  <si>
    <t>Віпасепт 1л</t>
  </si>
  <si>
    <t>Віпасепт 5л</t>
  </si>
  <si>
    <t>Корзолекс 5л</t>
  </si>
  <si>
    <t>Пероксид водню 32,5% 5л</t>
  </si>
  <si>
    <t>уп.</t>
  </si>
  <si>
    <t>33690000-3 «Лікарські засоби різні» - Лабораторні реактиви</t>
  </si>
  <si>
    <t xml:space="preserve">33600000-6 Фармацевтична продукція </t>
  </si>
  <si>
    <t xml:space="preserve">Сума </t>
  </si>
  <si>
    <t>Ліана ГУБАРЄВА</t>
  </si>
  <si>
    <t>Бинт 5*10см.н/с.</t>
  </si>
  <si>
    <t>Бинт 7*14см.н/ст.</t>
  </si>
  <si>
    <t>Бинт 7*14см стер.</t>
  </si>
  <si>
    <t>Відріз марлевий медичний нестерильний 1000см*90см н/ст</t>
  </si>
  <si>
    <t>Вата нестерильна  медична гігієнічна зиг-заг100г н/ст.</t>
  </si>
  <si>
    <t>Серветки марл. з петлею ст. 90х45 з рентген.нит 4 шар. №2</t>
  </si>
  <si>
    <t>Смуги індикаторні «Стерилан» 180/60(100шт)</t>
  </si>
  <si>
    <t>Смуги індикаторні «Стерилан» 132/20(100шт)</t>
  </si>
  <si>
    <t>Смуги індикаторні «Стерилан» 120/45(100шт)</t>
  </si>
  <si>
    <t>Рулон поліамідний для стерилізації сухим жаром STERIKING 50мм*200м(HR39)</t>
  </si>
  <si>
    <t>Рулон поліамідний для стерилізації сухим жаром STERIKING 100мм*200м(HR41)</t>
  </si>
  <si>
    <t>Рулон поліамідний для стерилізації сухим жаром STERIKING 150мм*200м(HR42)</t>
  </si>
  <si>
    <t>Рулон поліамідний для стерилізації сухим жаром STERIKING 200мм*200м(HR43)</t>
  </si>
  <si>
    <t>Рулон плоский R41-3P 100мм*200м STERIKING</t>
  </si>
  <si>
    <t>Рулон плоский R42-3P 150мм*200м STERIKING</t>
  </si>
  <si>
    <t>Рулон плоский R43-3P 200мм*200м STERIKING</t>
  </si>
  <si>
    <t>Катетер внутрішньовенний з крильцями та ін’єкційним портом, розмір 18G</t>
  </si>
  <si>
    <t>Катетер внутрішньовенний з крильцями та ін’єкційним портом, розмір 20G</t>
  </si>
  <si>
    <t>Катетер внутрішньовенний з крильцями та ін’єкційним портом, розмір 22G</t>
  </si>
  <si>
    <t>Клейонка медична в рулонах по 50м</t>
  </si>
  <si>
    <t>Лейкопластир 1*500</t>
  </si>
  <si>
    <t>Лейкопластир 2.5*500 н/ткана основа</t>
  </si>
  <si>
    <t>Система ПК</t>
  </si>
  <si>
    <t>Система ПР</t>
  </si>
  <si>
    <t>Скарифікатори одноразовий стерильний №200</t>
  </si>
  <si>
    <t>Штатив до ШОЕ-метру (капілярам Панченкова)</t>
  </si>
  <si>
    <t>Капіляр Панченкова ШОЕ-метру</t>
  </si>
  <si>
    <t>Шприц 1,0мл</t>
  </si>
  <si>
    <t>Шприц 2,0 мл</t>
  </si>
  <si>
    <t>Шприц 5,0 мл</t>
  </si>
  <si>
    <t>Шприц 10,0 мл</t>
  </si>
  <si>
    <t>Шприц 20,0 мл</t>
  </si>
  <si>
    <t>Шприц 100,0 мл (з довгою канюлею)</t>
  </si>
  <si>
    <t>Шприц 120,0 мл з голкою</t>
  </si>
  <si>
    <t>Зонд шлунковий № 16</t>
  </si>
  <si>
    <t>Зонд шлунковий № 18</t>
  </si>
  <si>
    <t>Зонд шлунковий № 20</t>
  </si>
  <si>
    <t>Зонд шлунковий №21</t>
  </si>
  <si>
    <t>Катетер Фолея №16 (2-ох ходовий)</t>
  </si>
  <si>
    <t>Катетер Фолея №18 (2-ох ходовий)</t>
  </si>
  <si>
    <t>Катетер Фолея №20 (2-ох ходовий)</t>
  </si>
  <si>
    <t>Катетер Фолея №16 (3-ох ходовий)</t>
  </si>
  <si>
    <t>Катетер Фолея №18 (3-ох ходовий)</t>
  </si>
  <si>
    <t>Катетер Фолея №20 (3-ох ходовий)</t>
  </si>
  <si>
    <t>Ручка до леза металева</t>
  </si>
  <si>
    <t>Стомічний калоприймач «CASEX» розмір вирізу 13-80 мм (однокомпонентний, відкритий, непрозорий, з екстрактом Aloe Vera) 15 шт.</t>
  </si>
  <si>
    <t>Нарукавник на апарат l=250 см, d=15 см, вологонепроникний, 1 шт.</t>
  </si>
  <si>
    <t>Дренаж торакальний</t>
  </si>
  <si>
    <t>Голка хірургічна G, з пружинним вушком, з трикутним кінчиком SURGIWELOMED, 1/2 окружність, № 9 4В1-1,0*40</t>
  </si>
  <si>
    <t>Голка хірургічна G, з пружинним вушком, з трикутним кінчиком SURGIWELOMED, 1/2 окружність, № 10 4В1-0,9*36</t>
  </si>
  <si>
    <t>Голка хірургічна Gr, з пружинним вушком, з круглим кінчиком SURGIWELOMED, 1/2 окружність, № 9 4А1-1,0*40</t>
  </si>
  <si>
    <t>Голка для спинальної анестезії 22 G</t>
  </si>
  <si>
    <t>Голка для спинальної анестезії 23 G</t>
  </si>
  <si>
    <t>Голка для спинальної анестезії 25 G</t>
  </si>
  <si>
    <t>Голка для спинальної анестезії 27 G</t>
  </si>
  <si>
    <t>Зажим для пуповини</t>
  </si>
  <si>
    <t>Зонд Блекмора</t>
  </si>
  <si>
    <t>Катетер для відсмоктування слизу у новонароджених № 8</t>
  </si>
  <si>
    <t>Набір гінекологічний оглядовий №10</t>
  </si>
  <si>
    <t>Щіточка гінекологічна цервікальна</t>
  </si>
  <si>
    <t>Наконечник кружки Есмарха Fr18 д.6,0 мм</t>
  </si>
  <si>
    <t>Наконечник кружки Есмарха Fr124 д.8,0 мм</t>
  </si>
  <si>
    <t>Сечоприймач одноразовий Т – кран 2,0л.</t>
  </si>
  <si>
    <t>Катетер типу Нелатон №14</t>
  </si>
  <si>
    <t>Бахіли медичні</t>
  </si>
  <si>
    <t>Пелюшка поглинаюча 90*60см №30</t>
  </si>
  <si>
    <t>Пелюшка поглинаюча 60*60см  №30</t>
  </si>
  <si>
    <t>Бинт гіпсовий 10см*2,7м</t>
  </si>
  <si>
    <t>Бинт гіпсовий 15см*2,7м</t>
  </si>
  <si>
    <t>Бинт гіпсовий 20см*2,7м</t>
  </si>
  <si>
    <t>Дренаж торакальний (плевральний) на металевому Стилет-троакар діаметр 8 (CH24)</t>
  </si>
  <si>
    <t>Дренаж торакальний (плевральний) на металевому Стилет-троакар діаметр 10 (CH30)</t>
  </si>
  <si>
    <t>Степлер для шкіри</t>
  </si>
  <si>
    <t>Еластичний трубчасто-сітчастий бинт (сітка) №6, розмiр 5,8см x 50 cм</t>
  </si>
  <si>
    <t>Ложка Фолькмана одноразова стер.</t>
  </si>
  <si>
    <t>Білий наконечник  для піпеточного дозатора, типу Gilson, нестерильний (0,1-10 мкл) 1000 шт.</t>
  </si>
  <si>
    <t xml:space="preserve">Назальна канюля </t>
  </si>
  <si>
    <t>Маска киснева</t>
  </si>
  <si>
    <t>Трубка ендотрахіальна №7,0</t>
  </si>
  <si>
    <t>Трубка ендотрахіальна №7,5</t>
  </si>
  <si>
    <t>Трубка ендотрахіальна №8,0</t>
  </si>
  <si>
    <t>Трубка ендотрахіальна №8,5</t>
  </si>
  <si>
    <t>Кардіопапір до ЕКГ 80*23</t>
  </si>
  <si>
    <t>Кардіопапір до ЕКГ 110*25</t>
  </si>
  <si>
    <t>Гель для УЗД 5 л</t>
  </si>
  <si>
    <t>пар</t>
  </si>
  <si>
    <t>Fentanyl</t>
  </si>
  <si>
    <t>Diazepam</t>
  </si>
  <si>
    <t>Ketamine</t>
  </si>
  <si>
    <t>Morphine</t>
  </si>
  <si>
    <t>Фентаніл р-н д/ін. 0,05мг/мл 2мл №5</t>
  </si>
  <si>
    <t>Сибазон р-н д/ін. 5мг/мл 2мл №10</t>
  </si>
  <si>
    <t>Кетамін р-н д/ін. 50мг/мл 2мл №10</t>
  </si>
  <si>
    <t>Морфін г/хл. р-н д/ін. 1% 1мл №5</t>
  </si>
  <si>
    <t>Діагностикум еритроцитарний –HbsAg</t>
  </si>
  <si>
    <t>Набір ІФА EQUI anti Treponema</t>
  </si>
  <si>
    <t>33120000-7 Системи реєстрації медичної інформації та дослідне обладнання</t>
  </si>
  <si>
    <t>ІНМА</t>
  </si>
  <si>
    <t>42662000-4 Зварювальні матеріали та обладнання</t>
  </si>
  <si>
    <t>39510000-0 Вироби домашнього текстилю</t>
  </si>
  <si>
    <t>39710000-2 Електричні побутові прилади</t>
  </si>
  <si>
    <t>43830000-0 Електричні інструменти</t>
  </si>
  <si>
    <t>16310000-1 Косарки</t>
  </si>
  <si>
    <t>33167000-8 Хірургічні світильники</t>
  </si>
  <si>
    <t>42161000-5 Водонагрівальні бойлери</t>
  </si>
  <si>
    <t>39713200-5 Пральні та сушильні машини</t>
  </si>
  <si>
    <t>30230000-0 Комп’ютерне обладнання</t>
  </si>
  <si>
    <t>16160000-4 Садова техніка різна: кущоріз електричний</t>
  </si>
  <si>
    <t>39515000-5 Штори, портьєри, кухонні штори та тканинні жалюзі</t>
  </si>
  <si>
    <t>33730000-6 Офтальмологічні вироби та коригувальні лінзи</t>
  </si>
  <si>
    <t>30210000-4 Машини для обробки даних (апаратна частина)</t>
  </si>
  <si>
    <t>33160000-9 Устаткування для операційних блоків:</t>
  </si>
  <si>
    <t>44310000-6 Вироби з дроту</t>
  </si>
  <si>
    <t>39220000-0 Кухонне приладдя, товари для дому та господарства і приладдя для закладів громадського харчування</t>
  </si>
  <si>
    <t>33190000-8 Медичне обладнання та вироби медичного призначення різні</t>
  </si>
  <si>
    <t>Автоматичний біохімічний аналізатор</t>
  </si>
  <si>
    <t>Операційний стіл</t>
  </si>
  <si>
    <t>Офісний гістероскоп</t>
  </si>
  <si>
    <t>Стимулятор нервів</t>
  </si>
  <si>
    <t>Аудіометр</t>
  </si>
  <si>
    <t>Артроскоп синускоп цистоскоп</t>
  </si>
  <si>
    <t>Відеогастроскоп</t>
  </si>
  <si>
    <t>Ціна без ПДВ</t>
  </si>
  <si>
    <t>32354000-9</t>
  </si>
  <si>
    <t>Плівки</t>
  </si>
  <si>
    <t>32354110-3</t>
  </si>
  <si>
    <t>Рентгенівська плівка</t>
  </si>
  <si>
    <t>НАЗВА</t>
  </si>
  <si>
    <t>К-сть</t>
  </si>
  <si>
    <t>СУМА</t>
  </si>
  <si>
    <t>Плівка флюорографічна медична 70 мм х 30,5 м</t>
  </si>
  <si>
    <t>пак</t>
  </si>
  <si>
    <t>24900000-3</t>
  </si>
  <si>
    <t>Чисті хімічні речовини та різноманітна хімічна продукція</t>
  </si>
  <si>
    <t>24930000-2</t>
  </si>
  <si>
    <t>Фотохімікати</t>
  </si>
  <si>
    <t>24931230-0</t>
  </si>
  <si>
    <t>Проявники для рентгенівських плівок</t>
  </si>
  <si>
    <t>24931240-3</t>
  </si>
  <si>
    <t>Фіксажі для рентгенівських плівок</t>
  </si>
  <si>
    <t>Проявник для ручної обробки рентгенівської плівки, 3л (на 15л розчину)</t>
  </si>
  <si>
    <t>Фіксаж для ручної обробки рентгенівської плівки, 3л (на 15л розчину)</t>
  </si>
  <si>
    <t>Вироби медичного призначення та допоміжні засоби тощо (плівка , проявник , фіксаж )</t>
  </si>
  <si>
    <t>Всього інші доходи , грн.</t>
  </si>
  <si>
    <t xml:space="preserve">Назва </t>
  </si>
  <si>
    <t>Спирт 70 % «Біосепт» 100мл.</t>
  </si>
  <si>
    <t>Голка хірургічна Gr, з пружинним вушком, з круглим кінчиком SURGIWELOMED, 1/2 окружність, № 10 4А1-0,9*36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</si>
  <si>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</si>
  <si>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 xml:space="preserve">     (підпис)</t>
  </si>
  <si>
    <t>33690000-3 «Лікарські засоби різні</t>
  </si>
  <si>
    <t>№</t>
  </si>
  <si>
    <t>Найменування товару</t>
  </si>
  <si>
    <t>Міжнародна непатентована назва</t>
  </si>
  <si>
    <t>Адреналін розчин д/ін. 1.82 мг/мл по 1 мл №10</t>
  </si>
  <si>
    <t>Epinephrine</t>
  </si>
  <si>
    <t>упаковка</t>
  </si>
  <si>
    <t>Аміаку розчин д/зовн. заст. 10 % по 40 мл у флак.</t>
  </si>
  <si>
    <t>Ammonia</t>
  </si>
  <si>
    <t>Аміназин розчин д/ін. 25 мг/мл по 2 мл №10</t>
  </si>
  <si>
    <t>Chlorpromazine</t>
  </si>
  <si>
    <t>Амінокапронова кислота розчин д/інф. 5 % по 100 мл у флаконі</t>
  </si>
  <si>
    <t>Aminocaproic acid</t>
  </si>
  <si>
    <t>Амлодипін таблетки по 5 мг №20</t>
  </si>
  <si>
    <t>Amlodipine</t>
  </si>
  <si>
    <t>Амлосартан таблетки, в/плів. обол. по 5 мг/160 мг №30</t>
  </si>
  <si>
    <t>Valsartan and amlodipine</t>
  </si>
  <si>
    <t>Аритміл розчин д/ін. 50 мг/мл по 3 мл №5</t>
  </si>
  <si>
    <t>Amiodarone</t>
  </si>
  <si>
    <t>Аскорбінова кислота розчин д/ін. 100 мг/мл по 2 мл №10</t>
  </si>
  <si>
    <t>Ascorbic acid (vit C)</t>
  </si>
  <si>
    <t>Аскорбінова кислота розчин д/ін. 50 мг/мл по 2 мл №10</t>
  </si>
  <si>
    <t>Аспаркам розчин д/ін. по 10 мл №10</t>
  </si>
  <si>
    <t>Magnesium (different salts in combination)</t>
  </si>
  <si>
    <t>Атракуріум розчин д/ін. 10 мг/мл по 2.5 мл №5</t>
  </si>
  <si>
    <t>Atracurium</t>
  </si>
  <si>
    <t>Атракуріум розчин д/ін. 10 мг/мл по 5 мл №5</t>
  </si>
  <si>
    <t>Атропін розчин д/ін. 1 мг/мл по 1 мл №10</t>
  </si>
  <si>
    <t>Atropine</t>
  </si>
  <si>
    <t>Ацетилсаліцилова кислота таблетки по 500 мг №10</t>
  </si>
  <si>
    <t>Acetylsalicylic acid</t>
  </si>
  <si>
    <t>Баклофен таблетки по 10 мг № 50</t>
  </si>
  <si>
    <t>Baclofen</t>
  </si>
  <si>
    <t>Бензогексоній розчин д/ін. 2.5 % по 1 мл №10</t>
  </si>
  <si>
    <t>Hexamethonium bromide</t>
  </si>
  <si>
    <t>Бісопрол таблетки по 5 мг №30</t>
  </si>
  <si>
    <t>Bisoprolol</t>
  </si>
  <si>
    <t>Верапаміл розчин д/ін. 2.5 мг/мл по 2 мл №10</t>
  </si>
  <si>
    <t>Verapamil</t>
  </si>
  <si>
    <t>Вода для ін'єкцій розчинник д/приг. р-ну д/ін. по 2 мл №10</t>
  </si>
  <si>
    <t>Aqua pro injectioni</t>
  </si>
  <si>
    <t>Вода для ін'єкційя розчинник д/приг. р-ну д/ін. по 5 мл №10</t>
  </si>
  <si>
    <t>Гемаксам р-н д/ін 50мг/мл 10мл №10</t>
  </si>
  <si>
    <t>Tranexamic acid</t>
  </si>
  <si>
    <t>Гемотран розчин д/ін. 100 мг/мл по 5 мл №5</t>
  </si>
  <si>
    <t>Гемотран розчин д/ін. 50 мг/мл по 5 мл №10</t>
  </si>
  <si>
    <t>Гентаміцину сульфат розчин д/ін. 40 мг/мл по 2 мл №10</t>
  </si>
  <si>
    <t>Gentamicin</t>
  </si>
  <si>
    <t>Гепарин розчин д/ін. 5000 МО/мл по 5 мл №5 у флак.</t>
  </si>
  <si>
    <t>Heparin</t>
  </si>
  <si>
    <t>Глюкоза розчин д/ін. 40 % по 20 мл №10</t>
  </si>
  <si>
    <t>Glucose</t>
  </si>
  <si>
    <t>Дексаметазон розчин д/ін. 4 мг/мл по 1 мл №10</t>
  </si>
  <si>
    <t>Dexamethasone</t>
  </si>
  <si>
    <t>Депос суспензія д/ін. по 1 мл №5</t>
  </si>
  <si>
    <t>Betamethasone</t>
  </si>
  <si>
    <t>Дибазол розчин д/ін. 10 мг/мл по 5 мл №10</t>
  </si>
  <si>
    <t>Bendazol</t>
  </si>
  <si>
    <t>Диклофенак розчин д/ін. 25 мг/мл по 3 мл №10</t>
  </si>
  <si>
    <t>Diclofenac</t>
  </si>
  <si>
    <t>Димедрол розчин д/ін. 10 мг/мл по 1 мл №10</t>
  </si>
  <si>
    <t>Diphenhydramine</t>
  </si>
  <si>
    <t>Дитилін розчин д/ін. 20 мг/мл по 5 мл №10</t>
  </si>
  <si>
    <t>Suxamethonium</t>
  </si>
  <si>
    <t>Діаліпон р-н д/інф. 3 % амп. 20 мл №5</t>
  </si>
  <si>
    <t>Thioctic acid</t>
  </si>
  <si>
    <t>Дофамін концентрат для р-ну д/інф. 40 мг/мл по 5 мл №10</t>
  </si>
  <si>
    <t>Dopamine</t>
  </si>
  <si>
    <t>Дротаверин розчин д/ін. 20 мг/мл по 2 мл №5</t>
  </si>
  <si>
    <t>Drotaverine</t>
  </si>
  <si>
    <t>Ебрантил розчин д/ін. 5 мг/мл (50 мг) по 10 мл №5</t>
  </si>
  <si>
    <t>Urapidil</t>
  </si>
  <si>
    <t>Еплетор таблетки, в/плів. обол. по 50 мг №30</t>
  </si>
  <si>
    <t>Eplerenone</t>
  </si>
  <si>
    <t>Етамзилат розчин д/ін. 12.5 % по 2 мл №10</t>
  </si>
  <si>
    <t>Etamsylate</t>
  </si>
  <si>
    <t>Еуфілін розчин д/ін. 20 мг/мл по 5 мл №10</t>
  </si>
  <si>
    <t>Theophylline</t>
  </si>
  <si>
    <t>Зопіклон таблетки по 7.5 мг №10</t>
  </si>
  <si>
    <t>Zopiclone</t>
  </si>
  <si>
    <t>Ібупрофен таблетки по 200 мг №50</t>
  </si>
  <si>
    <t>Ibuprofen</t>
  </si>
  <si>
    <t>Ірбетан таблетки по 300 мг №20</t>
  </si>
  <si>
    <t>Irbesartan</t>
  </si>
  <si>
    <t>Ірбетан-Н таблетки по 300 мг/12.5 мг №30</t>
  </si>
  <si>
    <t>Irbesartan and diuretics</t>
  </si>
  <si>
    <t>Кальцію глюконат (стабілізований) розчин д/ін. 100 мг/мл по 5 мл №10</t>
  </si>
  <si>
    <t>Calcium gluconate</t>
  </si>
  <si>
    <t>Кальція хлорид р-н д/ін. 50,7 мг/мл амп. 10 мл №10</t>
  </si>
  <si>
    <t>Calcium chloride</t>
  </si>
  <si>
    <t>Каптоприл таблетки по 25 мг №20</t>
  </si>
  <si>
    <t>Captopril</t>
  </si>
  <si>
    <t>Карбетоцин розчин д/ін. 100 мкг/мл по 1 мл №5 флак.</t>
  </si>
  <si>
    <t>Carbetocin</t>
  </si>
  <si>
    <t>Кардіо-Дар таблетки, в/плів. обол. по 75 мг №100 у конт.</t>
  </si>
  <si>
    <t>Кветіапінтабл 25мг блістер №30</t>
  </si>
  <si>
    <t>Quetiapine</t>
  </si>
  <si>
    <t>Кетолонг розчин д/ін. 30 мг/мл по 1 мл №10</t>
  </si>
  <si>
    <t>Ketorolac</t>
  </si>
  <si>
    <t>Клосарт таблетки, в/плів. обол. по 50 мг №28</t>
  </si>
  <si>
    <t>Losartan</t>
  </si>
  <si>
    <t>Корвазан таблетки, в/плів. обол. по 12.5 г №30</t>
  </si>
  <si>
    <t>Carvedilol</t>
  </si>
  <si>
    <t>Ксефокам порошок для р-ну д/ін. по 8 мг №5</t>
  </si>
  <si>
    <t>Lornoxicam</t>
  </si>
  <si>
    <t>Лазолекс розчин д/ін. 7.5 мг/мл по 2 мл №5 в амп.</t>
  </si>
  <si>
    <t>Ambroxol</t>
  </si>
  <si>
    <t>Ларфікс таблетки, в/о по 8 мг №100</t>
  </si>
  <si>
    <t>Лідокаїн розчин д/ін. 20 мг/мл по 2 мл №10</t>
  </si>
  <si>
    <t>Lidocaine</t>
  </si>
  <si>
    <t>Лінкоміцин розчин д/ін. 300 мг/мл по 2 мл №10</t>
  </si>
  <si>
    <t>Lincomycin</t>
  </si>
  <si>
    <t>Лоратадин таблетки по 10 мг №10</t>
  </si>
  <si>
    <t>Loratadine</t>
  </si>
  <si>
    <t>Мепенам порошок для р-ну д/ін. по 1 г у флаконі №1</t>
  </si>
  <si>
    <t>Meropenem</t>
  </si>
  <si>
    <t>Метоклопрамід розчин д/ін. 5 мг/мл по 2 мл №10</t>
  </si>
  <si>
    <t>Metoclopramide</t>
  </si>
  <si>
    <t>Налоксон розчин д/ін. 0.4 мг/мл по 1 мл №10</t>
  </si>
  <si>
    <t>Naloxone</t>
  </si>
  <si>
    <t>Напрофф таблетки, в/плів. обол. по 550 мг №10</t>
  </si>
  <si>
    <t>Naproxen</t>
  </si>
  <si>
    <t>Натрію тіосульфат розчин д/ін. 300 мг/мл по 5 мл №10</t>
  </si>
  <si>
    <t>Thiosulfate</t>
  </si>
  <si>
    <t>Небіволол таблетки по 5 мг №28</t>
  </si>
  <si>
    <t>Nebivolol</t>
  </si>
  <si>
    <t>Нікотинова кислота розчин д/ін. 10 мг/мл по 1 мл №10</t>
  </si>
  <si>
    <t>Nicotinic acid</t>
  </si>
  <si>
    <t>Німедар таблетки по 100 мг №30</t>
  </si>
  <si>
    <t>Nimesulide</t>
  </si>
  <si>
    <t>Ніфуроксазид капсули по 200 мг №20</t>
  </si>
  <si>
    <t>Nifuroxazide</t>
  </si>
  <si>
    <t>Новокаїн розчин д/ін. 0.5 % по 200 мл</t>
  </si>
  <si>
    <t>Procaine</t>
  </si>
  <si>
    <t>Новокаїн розчин д/ін. 0.5 % по 5 мл №10</t>
  </si>
  <si>
    <t>Окситоцин розчин д/ін. 5 МО/мл по 1 мл №10</t>
  </si>
  <si>
    <t>Oxytocin</t>
  </si>
  <si>
    <t>Омепразол капсули гастрорезист. тв. по 40 мг №30</t>
  </si>
  <si>
    <t>Omeprazole</t>
  </si>
  <si>
    <t>Омепразол капсули по 20 мг №10</t>
  </si>
  <si>
    <t>Омепразол порошок для р-ну інфузій по 40 мг у флаконі №1</t>
  </si>
  <si>
    <t>Ондансетрон розчин д/ін. 2 мг/мл по 2 мл №5 еметон</t>
  </si>
  <si>
    <t>Ondansetron</t>
  </si>
  <si>
    <t>Ондансетрон розчин д/ін. 2 мг/мл по 4 мл №5</t>
  </si>
  <si>
    <t>Пантопразол порошок для р-ну д/ін. по 40 мг №1 у флак. у пач.</t>
  </si>
  <si>
    <t>Pantoprazole</t>
  </si>
  <si>
    <t>Папаверин розчин д/ін. 20 мг/млпо 2 мл №10</t>
  </si>
  <si>
    <t>Papaverine</t>
  </si>
  <si>
    <t>Парацетамол таблетки по 500 мг №10</t>
  </si>
  <si>
    <t>Paracetamol</t>
  </si>
  <si>
    <t>Пірацетам розчин д/ін. 200 мг/мл по 5 мл №10</t>
  </si>
  <si>
    <t>Piracetam</t>
  </si>
  <si>
    <t>Піридоксин (вітамін В6) розчин д/ін. 50 мг/мл по 1 мл №10</t>
  </si>
  <si>
    <t>Pyridoxine (vit B6)</t>
  </si>
  <si>
    <t>Платифілін розчин д/ін. 2 мг/мл по 1 мл №10</t>
  </si>
  <si>
    <t>Platyphylline</t>
  </si>
  <si>
    <t>Превентор таблетки, в/плів. обол. по 10 мг №30</t>
  </si>
  <si>
    <t>Rosuvastatin</t>
  </si>
  <si>
    <t>Прегабалін капсули по 75 мг №14</t>
  </si>
  <si>
    <t>Pregabalin</t>
  </si>
  <si>
    <t>Екзистакапс тверді 75мг блістер №28</t>
  </si>
  <si>
    <t>Преднізолон розчин д/ін. 30 мг/мл по 1 мл №5</t>
  </si>
  <si>
    <t>Prednisolone</t>
  </si>
  <si>
    <t>Прозерин розчин д/ін. 0.5 мг/мл по 1 мл №10</t>
  </si>
  <si>
    <t>Neostigmine</t>
  </si>
  <si>
    <t>Пропофол емульсія д/інф. 10 мг/мл по 20 мл №5</t>
  </si>
  <si>
    <t>Propofol</t>
  </si>
  <si>
    <t>Пропофол емульсія д/інф. 10 мг/мл по 50 мл у пляш.</t>
  </si>
  <si>
    <t>Ревмастоп розчин д/ін. 10 мг/мл по 1.5 мл №5 в амп.</t>
  </si>
  <si>
    <t>Meloxicam</t>
  </si>
  <si>
    <t>Резоглобін розчин д/ін. 1500 МО (300 мкг) по 2 мл №1</t>
  </si>
  <si>
    <t>Anti-D (rh) immunoglobulin</t>
  </si>
  <si>
    <t>Реополіглюкін розчин д/інф. по 200 мл</t>
  </si>
  <si>
    <t>Рифампіцин капсули по 150 мг №20</t>
  </si>
  <si>
    <t>Rifampicin</t>
  </si>
  <si>
    <t>Сидокард таблетки по 2 мг №30</t>
  </si>
  <si>
    <t>Molsidomine</t>
  </si>
  <si>
    <t>Спазмалгон розчин д/ін. по 5 мл №5</t>
  </si>
  <si>
    <t>Pitofenone and analgesics</t>
  </si>
  <si>
    <t>Стрептоцид таблетки по 300 мг №10</t>
  </si>
  <si>
    <t>Sulfanilamide</t>
  </si>
  <si>
    <t>Сульпірид розчин д/ін. 50 мг/мл по 2 мл №10</t>
  </si>
  <si>
    <t>Sulpiride</t>
  </si>
  <si>
    <t>Сульпірид таблетки по 50 мг №30</t>
  </si>
  <si>
    <t>Тіаміну хлорид (вітамін В1) розчин д/ін. 50 мг/мл по 1 мл №10</t>
  </si>
  <si>
    <t>Thiamine (vit B1)</t>
  </si>
  <si>
    <t>Тіопентал ліофілізат для р-ну д/ін. по 1 г у флаконі №1</t>
  </si>
  <si>
    <t xml:space="preserve">Thiopental </t>
  </si>
  <si>
    <t>Тіоцетам розчин д/ін. по 5 мл №10</t>
  </si>
  <si>
    <t>Торсид розчин д/ін. 5 мг/мл по 4 мл №5</t>
  </si>
  <si>
    <t>Torasemide</t>
  </si>
  <si>
    <t>Торсид таблетки по 10 мг №30</t>
  </si>
  <si>
    <t>Тріомбраст розчин д/ін. 76 % по 20 мл №5</t>
  </si>
  <si>
    <t>Diatrizoic acid</t>
  </si>
  <si>
    <t>Тромбонет таблетки, в/плів. обол. по 75 мг №30</t>
  </si>
  <si>
    <t>Clopidogrel</t>
  </si>
  <si>
    <t>Улсепан таблетки киш./розч. по 40 мг №28 (7х4)</t>
  </si>
  <si>
    <t>Фуросемід розчин д/ін. 10 мг/мл по 2 мл №10</t>
  </si>
  <si>
    <t>Furosemide</t>
  </si>
  <si>
    <t>Хлоропіраміну гідрохлорид розчин д/ін. 20 мг/мл по 1 мл №5</t>
  </si>
  <si>
    <t>Chloropyramine</t>
  </si>
  <si>
    <t>Хумодар Р100Р розчин д/ін. 100 МО/мл по 10 мл №1</t>
  </si>
  <si>
    <t>Insulin (human)</t>
  </si>
  <si>
    <t>Ціанокобаламін розчин д/ін. 0.2 мг/мл по 1 мл №10</t>
  </si>
  <si>
    <t>Cyanocobalamin</t>
  </si>
  <si>
    <t>Ціанокобаламін розчин д/ін. 0.5 мг/мл по 1 мл №10</t>
  </si>
  <si>
    <t>33631400-6 - Антибіотики та хіміотерапевтичні засоби для лікування дерматологічних захворювань</t>
  </si>
  <si>
    <t>МНН</t>
  </si>
  <si>
    <t>Дозування та форми випуску</t>
  </si>
  <si>
    <t>Од. виміру</t>
  </si>
  <si>
    <t>Ібупрофен (Ibuprofen) БУПІРОЛ</t>
  </si>
  <si>
    <t>розчин для інфузій 4 мг/мл по 100 мл</t>
  </si>
  <si>
    <t>Меропенем (Meropenem) МЕРОБАК</t>
  </si>
  <si>
    <t>порошок для приготування розчину для ін’єкцій по 1000 мг</t>
  </si>
  <si>
    <t>Цефепім (Cefepime) УКПІМ</t>
  </si>
  <si>
    <t>порошок для розчину для ін'єкцій або інфузій по 1000 мг</t>
  </si>
  <si>
    <t>Цефотаксим (Cefotaxime)</t>
  </si>
  <si>
    <t>порошок для розчину для ін'єкцій по 1 г</t>
  </si>
  <si>
    <t>Цефтазидим (Ceftazidime)</t>
  </si>
  <si>
    <t>порошок для розчину для ін'єкцій 1 г</t>
  </si>
  <si>
    <t>Цефтриаксон (Ceftriaxone)</t>
  </si>
  <si>
    <t>порошок для розчину для ін'єкцій, по 1000 мг</t>
  </si>
  <si>
    <t>Цефуроксим  (Cefuroxime)</t>
  </si>
  <si>
    <t>порошок для розчину для ін'єкцій  флакон 0,75 г</t>
  </si>
  <si>
    <t>Цефазолін (Cefazolin)</t>
  </si>
  <si>
    <t>Цефтрактам  (Ceftriaxone, combinations)</t>
  </si>
  <si>
    <t>Ципрофлоксацин  (Ciprofloxacin)</t>
  </si>
  <si>
    <t>таблетки по 500 мг</t>
  </si>
  <si>
    <t>33692000-7 — Медичні розчини</t>
  </si>
  <si>
    <t>ДК 021:2015 33696000-5 Реактиви та контрастні речовини:</t>
  </si>
  <si>
    <t>Медико – технічні вимоги</t>
  </si>
  <si>
    <t>Од. вимірювання</t>
  </si>
  <si>
    <t>К-ть</t>
  </si>
  <si>
    <t>Азотна кислота хч</t>
  </si>
  <si>
    <t xml:space="preserve">Стандарт якості ГОСТ 4461-77 </t>
  </si>
  <si>
    <t>Склад набору 1.Субстратно-буферний розчинАлАТ – 1 флакон (50±2) мл ; · Фосфатний буфер (0,100±0,005) моль/л;· D,L-альфа-аланін (0,20±0,01) моль/л;· 2-оксоглутарова кислота (2,0±0,01) ммоль/л; 2. Стоп-реагент – 1 флакон з (50±2) мл;· 2,4-дінітрофенілгідразин (1,00±0,05) ммоль/л;  3. Калібрувальний розчин – 1 ампула з (5,0±0,5) мл; · Піровинограднокислого натрію (2,0±0,1) ммоль/л; 4. Гідроокис натрію розчин (4, 0±0,2) моль/л чи сухий – 1 флакон з (50±2) мл або з (8,00±0,32) г ; Аналітичні характеристики 1. Лінійність повинна забезпечуватись в діапазоні від 0,1 мкмоль/(год*мл) до 2,5 мкмоль/(год*мл) (від 0,028 мккат/л до 0,7 мккат/л ; 2. Коефіцієнт варіації результатів визначень – не більше 6%</t>
  </si>
  <si>
    <t>Антиген кардіоліпіновий RPR-01</t>
  </si>
  <si>
    <t>Кардіоліпіновий антиген, Холін-хлорид 70%, Позитивний контроль 4+</t>
  </si>
  <si>
    <t>Набір реагентів для визначення активності Аспартатамінотрансферази в сироватці, крові, АСаТ (Райтмана-Френкеля метод) НР00.01</t>
  </si>
  <si>
    <t>Склад набору 1.   Субстратно-буферний розчин АСаТ – 1 флакон (50±2) мл; ·     Фосфатний буфер (0,100±0,005) моль/л;·     L-аспарагінова кислота;·     2-оксоглутарова кислота (2,0±0,01) ммоль/л;  2.   Стоп-реагент – 1 флакон з (50±2) мл ; ·     2,4-дінітрофенілгідразин (1,00±0,05) ммоль/л;3. Калібрувальний розчин – 1 ампула з (5,0±0,5) мл; ·     Піровинограднокислого натрію (2,0±0,1) ммоль/л; 4.Гідроокис натрію розчин (4, 0±0,2) моль/л чи сухий – 1 флакон з (50±2) мл або з (8,00±0,32) г ;Аналітичні характеристики ; 1. Лінійність повинна забезпечуватись в діапазоні від 0,1 мкмоль/(год*мл) до 2,5 мкмоль/(год*мл) (від 0,028 мккат/л до 0,7 мккат/л 2. Коефіцієнт варіації результатів визначень – не більше 6%</t>
  </si>
  <si>
    <t>Контрольна сироватка «Біоконт ГК»   НК 008.04</t>
  </si>
  <si>
    <t>Для гематологічних досліджень. Для перевірки відтворюваності та правильності (вірогідності) результатів визначення концентрації аналізів, атестовані показники. Стабільність у відновленому контролі стабільна при температурі +2 - 8°С протягом всього строку дії. 3 х 1,5 мл</t>
  </si>
  <si>
    <t>Діапазон вимірювання концентрацій від 2мг/л до 140 мг/л Коефіцієнт варіації визначення не більше 5% Склад набору:1.Розчин сульфанілової кислоти – 1 фл. по (50±2) мл; сульфанілова кислота – 25 ± 1,2 ммоль/л; 2.Кофеїновий реактив (концентрат) – 2 фл. по (50±2) мл; бензонат натрія - (0,5±0,025) ммоль/л; кофеїн - (50±1,5) г/л; ацетат натрія - (1,5±0,075) ммоль/л; 3.Розчин нітрата натрія 350 ммоль/л – 1 ампула по (5±0,3)мл</t>
  </si>
  <si>
    <t>ФілоНорм КС028.02</t>
  </si>
  <si>
    <t xml:space="preserve">ФілоНорм» призначений для контролю відтворюваності виконання біохімічних аналізів у клініко-діагностичних лабораторіях. Методи досліджень та значення аналітів у контрольному матеріалі представлені в таблиці 1. Зберігання матеріалу - при температурі від плюс 2 °С до плюс 8 °С. Гарантійний термін придатності - 12 місяців від дня виготовлення. </t>
  </si>
  <si>
    <t>фл</t>
  </si>
  <si>
    <t>ГГТ НР007.01</t>
  </si>
  <si>
    <t>Набір реактивів для визначення активності гама-глутамілтранспептидази.Склад набору : 1.Буферний розчин  pH (8,0-8,3) - 1 флакон (50±2) мл; 2.     Оцтова кислота - 2 флакони (50±2) мл;  3.     Калібратор - 1 ампула (5±0,5) мл;4.     Субстрат - 4мікро пробірки Діапазон визначення активності – від 0,05 мккат/л до 5 мккат/Коефіцієнт варіації -не більш як 5%</t>
  </si>
  <si>
    <t>Набір реактивів для визначення концентрації гемоглобіну (геміглобінціанідний метод) 400 визначень</t>
  </si>
  <si>
    <t>Для визначення концентрації гемоглобіну геміглобін ціанідним методом на 400 визначень. Коефіцієнт варіації не більше 2% Склад набору: 1. Ацетонціангідрин – 2 амп. по 0.5 мл.2. Суха суміш реактивів – 2 амп. по 1.2 г. порошок білого кольору з вкрапленнями червоних кристалів 3. Калібрувальний розчин геміглобінцианіду –   1 амп. 5 мл (150 г/л)</t>
  </si>
  <si>
    <t xml:space="preserve">Набір реагентів для визначення кількості глюкози у біологічних рідинах глюкозо- оксидазним методом. Діапазон визначених концентрацій – від 0,056 ммоль/л. до 25 ммоль/л.Коефіцієнт варіації визначення– не більше 5%. Склад набору:1.   Ензими (розчин – 1 флакон з (100±2) мл або 2 флакони по (50±2) мл ;·     пероксидаза (2200±220) U/л ; ·     β, D-глюкозооксидаза (18000±1800) U/л; ·     4-амінофеназон (110±11) мг/л; ·     стабілізатори, активатори.2.   Буферний розчин – 1 флакон з (100±2) мл або 2 флакони по (50±2) мл;·     Фосфатний буфер (рН 7.2 – 7.4) (0,10 ±0,01) моль/л; ·     Фенол (190±19) мг/л ; ·     Стабілізатори; 3.   Антикоагулянт – 1 флакон або пакет; 4.   Калібрувальний розчин глюкози (10,0±0,5) ммоль/л – 1 ампула з (5,0±0,5) мл. </t>
  </si>
  <si>
    <t>Глюкотест № 100</t>
  </si>
  <si>
    <t>Смужки індикаторні для визначення глюкози в сечі</t>
  </si>
  <si>
    <t>. Імунодіагностикумеритроцитарнийімуноглобуліновий для виявлення поверхневого антигену вірусу гепатиту В (HbsAg), сухий. Склад: 1. СЕ - Суха гігроскопічна пориста маса коричневого кольору, після розчинення — мутна рідина червоно-коричневого кольору. 2. К+ - Позитивний контрольний зразок — донорська плазма, що містить HbsAg, інактивована прогріванням протягом 10 годин при температурі (60±1) °С, що не містить антитіл до вірусу гепатиту С та ВІЛ-1,2. Прозора або опалесцююча рідина рожевого кольору. Титр К+ не нижче 1:32 Основні характеристики тест-системи ; Чутливість по антигену за стандартом підприємства – 10 МO/м Специфічність за стандартом підприємства – 100; Набір розрахований на 200 визначень</t>
  </si>
  <si>
    <t>Желатин розчин 10%</t>
  </si>
  <si>
    <t>Блідозабарвлений, желеподібний при температурі оточуючого середовища не вище   23 ºС. Склад: 10 ампул по 10мл 10% желатину</t>
  </si>
  <si>
    <t>упак</t>
  </si>
  <si>
    <t>Лінійність зберігається до 100 мг/л (885 мкмоль/л) Коефіцієнт варіації визначення не більше 6% Склад набора: 1.Розчин пікринової кислоти (0,04±0,02) ммоль/л -1 фл. по (100±2) мл; 2.Розчин трихлороцтової кислоти (1,22±0,061) ммоль/л -1 фл. по (100±2) мл;  3. Гідроокись натрія: розчин 2,3 Н - 1 фл. по (50±2) мл; 4.Ліофілізований креатинін для приготування 8 мл – 1 фл. калібровочного розчину (442,5±22) ммоль/л або 8 мл готового розчину креатиніну (442,5±22) ммоль/л</t>
  </si>
  <si>
    <t>Набір реагентів для визначення загального білка в сироватці або крові. Склад набору: 1.      Ліофілізований альбумін для приготування 5 мл. Калібрувального розчину (50±2) г/л – 1 флакон;2.      Біуретовий реагент (концентрований розчин) -2флакони по (100±2)мл; Аналітичні характеристики 1.      Дапазон визначених концентрацій: від 5 г/л до 100 г/л 2.      Коефіцієнт варіації результатів визначень – не більше 5%</t>
  </si>
  <si>
    <r>
      <t xml:space="preserve">Якісне виявлення сумарних антитіл до </t>
    </r>
    <r>
      <rPr>
        <i/>
        <sz val="10"/>
        <rFont val="Times New Roman"/>
        <family val="1"/>
        <charset val="204"/>
      </rPr>
      <t>Treponema pallidum</t>
    </r>
    <r>
      <rPr>
        <sz val="10"/>
        <rFont val="Times New Roman"/>
        <family val="1"/>
        <charset val="204"/>
      </rPr>
      <t xml:space="preserve">  96 визначень</t>
    </r>
  </si>
  <si>
    <t>л</t>
  </si>
  <si>
    <t>Діагностикум для виявлення ревматоїдного фактору в сироватці крові. Чутливість тесту становить 12 МОд/мл, (аглютинація на 2+) Склад набору^1. Реагент 1. Латексна суспензія, 2 мл (1 шт.); 2. Реагент 2. Розчинник, 14 мл (1 шт.);3. Реагент 3. Позитивний контроль, який містить РФ більше 12 МОд/мл, 0.2 мл (1 шт) ;4. Реагент 4. Негативний контроль, який містить РФ менше 12 МОд/мл, 0.2 мл (1 шт.); 5. Палички для розмішування сироваток (100 шт.);6. Тестовий слайд (1 шт.)</t>
  </si>
  <si>
    <t>Набір для визначення  сечової кислоти у біологічних рідинах.Діапазон визначення  концентрації від 80 мкмоль/л до 1200 мкмоль/л Коефіцієнт варіації  не більше 5% Склад набору:1.1. Фосфорновольфрамовий реактив – 1 флакон з (100±2) мл; 2.2. Розчин каталізатору – 1 флакон . (50±2) мл; 3.3. Вольфрамат натрію (0,30±0,01) моль/л – 1 флакон (50±2) мл; 4.4. Калібрувальний розчин сечової кислоти (300±3) кмоль/л – 1 флакон (9±0,5) мл; 5.5. Карбанат натрію – 1 флакон або поліетиленовий пакет (20,5±0,5) г</t>
  </si>
  <si>
    <t>Набір для визначення сечовини (діацетил-монооксимним методом) Склад набору 1. Реагент №1 - 500мл. 2. Реагент №2 - 250мл. 3. Стандарт. Водний розчин сечовини 16,65 ммоль/л.; 1фл.- 3мл.</t>
  </si>
  <si>
    <t>С-реактивний білок (СРБ) латекс – тест200 визначень</t>
  </si>
  <si>
    <t>Діагностикум для виявлення с-реактивного білку в сироватці крові. Чутливість тесту становить 6мг\л, (аглютинація на 2+) Склад набору: 1. Реагент 1. Латексна суспензія, 2 мл (1 шт.);2. Реагент 2. Розчинник, 14 мл (1 шт.);3. Реагент 3. Позитивний контроль, який містить СРБ більше 6 мг/л, 0.2 мл (1 шт); 4. Реагент 4. Негативний контроль, який містить менше 6 мг/л, 0.2 мл (1 шт.); 5. Палички для розмішування сироваток (100 шт.); 6. Тестовий слайд (1 шт)</t>
  </si>
  <si>
    <t>Сульфосаліцилова кислота</t>
  </si>
  <si>
    <t>Білі кристали, масова частка основної речовини 99-104%. Кваліфікація "чда". Прозорість - прозорий і безбарвний в 20% водному розчині.</t>
  </si>
  <si>
    <t>кг</t>
  </si>
  <si>
    <t>Діагностичний моноклональний реагент Анти-D 10 мл групи крові за системою АВ0 Групотест</t>
  </si>
  <si>
    <t>вища категорія неврологія № 66-ос/к - 25.04.2019</t>
  </si>
  <si>
    <t>Дубровська Т.І.</t>
  </si>
  <si>
    <t>Лікар - ортопед - травматолог</t>
  </si>
  <si>
    <t>Козак О. А.</t>
  </si>
  <si>
    <t>Лікар-отоларинголог</t>
  </si>
  <si>
    <t>Лікар-офтальмолог</t>
  </si>
  <si>
    <t>Лікар - психіатр</t>
  </si>
  <si>
    <t>Гаврилюк І. В.</t>
  </si>
  <si>
    <t xml:space="preserve">Лікар - стоматолог </t>
  </si>
  <si>
    <t xml:space="preserve">Лікар - терапевт </t>
  </si>
  <si>
    <t>Лікар-уролог</t>
  </si>
  <si>
    <t>Лікар-хірург</t>
  </si>
  <si>
    <t>Лікар з ультразвукової діагностики</t>
  </si>
  <si>
    <t>Галян Я.С.</t>
  </si>
  <si>
    <t>Сегеда А.В.</t>
  </si>
  <si>
    <t>Завідувач відділення , лікар - акушер - гінеколог</t>
  </si>
  <si>
    <t>вища категорія акушерство і гінекологія № 23-ос/к - 28.02.2019</t>
  </si>
  <si>
    <t>Шевчук О. М.</t>
  </si>
  <si>
    <t>Лікар - педіатр неонатолог</t>
  </si>
  <si>
    <t>Пашков В.М.</t>
  </si>
  <si>
    <t>Лікар - анестезіолог</t>
  </si>
  <si>
    <t>Лікар - педіатр</t>
  </si>
  <si>
    <t>вища категорія неврологія № 130-ос/к - 26.06.2018</t>
  </si>
  <si>
    <t>Кучмук С. О.</t>
  </si>
  <si>
    <t>Лікар - невропатолог</t>
  </si>
  <si>
    <t>Завідувач відділення , лікар - терапевт</t>
  </si>
  <si>
    <t>вища категорія терапія № 66-ос/к - 25.04.2019</t>
  </si>
  <si>
    <t>Ткачук Н.В.</t>
  </si>
  <si>
    <t>Лікар - терапевт</t>
  </si>
  <si>
    <t>Ватащук В.О.</t>
  </si>
  <si>
    <t>Завідувач відділення , лікар - хірург</t>
  </si>
  <si>
    <t>Лікар - хірург</t>
  </si>
  <si>
    <t>Долішняк Р.В.</t>
  </si>
  <si>
    <t>І категорія хірургія № 23-ос/к - 28.02.2019</t>
  </si>
  <si>
    <t>Мосійчук Т.О.</t>
  </si>
  <si>
    <t>І категорія хірургія № 49-ос/к - 28.03.2019</t>
  </si>
  <si>
    <t>Клемра В.В.</t>
  </si>
  <si>
    <t>Костів Ю.І.</t>
  </si>
  <si>
    <t>вища категорія анестезіологія № 351-ос/к - 27.09.2018</t>
  </si>
  <si>
    <t>Костюк В.Р.</t>
  </si>
  <si>
    <t>ДОПОМІЖНІ ЛІКУВАЛЬНО - ДІАГНОСТИЧНІ ПІДРОЗДІЛИ</t>
  </si>
  <si>
    <t>КЛІНІКО-ДІАГНОСТИЧНА ЛАБОРАТОРІЯ</t>
  </si>
  <si>
    <t>Завідувач лабораторії , лікар - лаборант</t>
  </si>
  <si>
    <t>вища категорія клінічна лабораторна діагностика № 33 - ос/к - 21.02.2018</t>
  </si>
  <si>
    <t>Губарєва Л. В.</t>
  </si>
  <si>
    <t>Карпюк Л. І.</t>
  </si>
  <si>
    <t>Лікар - рентгенолог</t>
  </si>
  <si>
    <t>ІІ рентгенологія № 58-ос/к  28.05.2020</t>
  </si>
  <si>
    <t>Шевченко Л.П.</t>
  </si>
  <si>
    <t>ФІЗІОТЕРАПЕВТИЧНЕ ВІДДІЛЕННЯ</t>
  </si>
  <si>
    <t>Завідувач відділення , лікар - фізіотерапевт</t>
  </si>
  <si>
    <t>Стецюк О.Є.</t>
  </si>
  <si>
    <t>ПРИЙМАЛЬНЕ ВІДДІЛЕННЯ</t>
  </si>
  <si>
    <t>Павленко О.Ю.</t>
  </si>
  <si>
    <t>Філюк А.В.</t>
  </si>
  <si>
    <t>Денис А.В.</t>
  </si>
  <si>
    <t>ЗАГАЛЬНО - ЛІКАРНЯНИЙ ПЕРСОНАЛ</t>
  </si>
  <si>
    <t>Головна медична сестра (головний медичний брат)</t>
  </si>
  <si>
    <t>Росоловська Є. П.</t>
  </si>
  <si>
    <t>Сестра медична ( брат медичний ) стаціонару</t>
  </si>
  <si>
    <t>Шевчук А.Л.</t>
  </si>
  <si>
    <t>Сестра медична ( брат медичний ) з дієтичного харчування</t>
  </si>
  <si>
    <t>Березюк Л. М.</t>
  </si>
  <si>
    <t>Акушерка (акушер)</t>
  </si>
  <si>
    <t>вища категорія сестринська справа № 294- ос/к - 12.09.2019</t>
  </si>
  <si>
    <t>Шутовська І.М.</t>
  </si>
  <si>
    <t>вища категорія сестринська справа № 61-ос/к - 11.06.2020</t>
  </si>
  <si>
    <t>Філіпчук Г.Ф.</t>
  </si>
  <si>
    <t>Сестра медична (брат медичний) поліклініки (психіатричний кабінет)</t>
  </si>
  <si>
    <t>Романюк Т. П.</t>
  </si>
  <si>
    <t>Скуба С.О.</t>
  </si>
  <si>
    <t>Джусюк Л. М.</t>
  </si>
  <si>
    <t>Панасюк А. Л.</t>
  </si>
  <si>
    <t>Побережнюк Т.М.</t>
  </si>
  <si>
    <t>вища категорія сестринська справа № 349-ос/к - 03.12.2019</t>
  </si>
  <si>
    <t>Сестра медична старша ( брат медичний старший )</t>
  </si>
  <si>
    <t>вища категорія сестринська справа № 52-ос/к - 14.05.2020</t>
  </si>
  <si>
    <t>Захарчук І.В.</t>
  </si>
  <si>
    <t>вища категорія акушерська справа № 31-ос/к - 12.03.2020</t>
  </si>
  <si>
    <t>Сидорук В. Є.</t>
  </si>
  <si>
    <t>вища категорія акушерська справа № 349-ос/к - 03.12.2019</t>
  </si>
  <si>
    <t>Ющук А. А.</t>
  </si>
  <si>
    <t>Михалюк О. М.</t>
  </si>
  <si>
    <t>вища категорія акушерська справа № 77-ос/к - 16.05.2019</t>
  </si>
  <si>
    <t>Дудар Н.В.</t>
  </si>
  <si>
    <t>вища категорія сестринська справа № 335-ос/к - 07.11.2019</t>
  </si>
  <si>
    <t>Волянська В.В.</t>
  </si>
  <si>
    <t>Антонюк Л.П.</t>
  </si>
  <si>
    <t>Ващук Л.В.</t>
  </si>
  <si>
    <t>Карпук Ж. О.</t>
  </si>
  <si>
    <t>Остапчук С. П.</t>
  </si>
  <si>
    <t>Сестра медична - анестезист ( брат медичний - анестезист )</t>
  </si>
  <si>
    <t>Березовська Н.П.</t>
  </si>
  <si>
    <t>Сестра медична ( брат медичний ) стаціонару (процедурна, процедурний )</t>
  </si>
  <si>
    <t>І категорія сестринська справа № 343-ос/к - 21.11.2019</t>
  </si>
  <si>
    <t>Виноградова О.П.</t>
  </si>
  <si>
    <t>Яблонська О.В.</t>
  </si>
  <si>
    <t>вища категорія сестринська справа № 31-ос/к - 12.03.2020</t>
  </si>
  <si>
    <t>Вишневська В.С.</t>
  </si>
  <si>
    <t>вища категорія сестринська справа № 54-ос/к - 11.04.2019</t>
  </si>
  <si>
    <t>Волик Г. М.</t>
  </si>
  <si>
    <t>Зеленко Л. О.</t>
  </si>
  <si>
    <t>Костюк З.М.</t>
  </si>
  <si>
    <t>Лоза Н. П.</t>
  </si>
  <si>
    <t>Магдевич І.О.</t>
  </si>
  <si>
    <t>Малініна О.П.</t>
  </si>
  <si>
    <t>Пархомчук О.М.</t>
  </si>
  <si>
    <t>Савчук О.М.</t>
  </si>
  <si>
    <t>Скубюк Ю.В.</t>
  </si>
  <si>
    <t>Тимощук Ю.І.</t>
  </si>
  <si>
    <t>вища категорія сестринська справа № 77-ос/к - 16.05.2019</t>
  </si>
  <si>
    <t>Візітів Н.І.</t>
  </si>
  <si>
    <t>Гусар Л.І.</t>
  </si>
  <si>
    <t>Колбач А.В.</t>
  </si>
  <si>
    <t xml:space="preserve">вища категорія сестринська справа № 340-ос/к - 13.09.2018 </t>
  </si>
  <si>
    <t>Козел О.А.</t>
  </si>
  <si>
    <t>Максимюк О.В.</t>
  </si>
  <si>
    <t>Бродосюк Л.В.</t>
  </si>
  <si>
    <t>Боярин В.А.</t>
  </si>
  <si>
    <t>Дейна А.М.</t>
  </si>
  <si>
    <t>Тучапець Т.М.</t>
  </si>
  <si>
    <t>вища категорія сестринська справа № 19-ос/к - 13.02.2020</t>
  </si>
  <si>
    <t>Шай Л.С.</t>
  </si>
  <si>
    <t>вища категорія сестринська справа № 95-ос/к - 06.06.2019</t>
  </si>
  <si>
    <t>Власюк А.М.</t>
  </si>
  <si>
    <t>Хом'ярчук Л.В.</t>
  </si>
  <si>
    <t>Панасюк Л.В.</t>
  </si>
  <si>
    <t>Сестра медична ( брат медичний ) дитячого стаціонару</t>
  </si>
  <si>
    <t>Мушка Н.Л.</t>
  </si>
  <si>
    <t>Бречко Л. П.</t>
  </si>
  <si>
    <t>вища категорія сестринська справа № 380-ос/к - 08.11.2018</t>
  </si>
  <si>
    <t>Попова Л.Л.</t>
  </si>
  <si>
    <t>Загайна В.О.</t>
  </si>
  <si>
    <t>Ройчук Н.Л.</t>
  </si>
  <si>
    <t>Сестра медична ( брат медичний ) стаціонару (перев'язувальна, перев'язувальний )</t>
  </si>
  <si>
    <t>вища категорія сестринська справа № 362-ос/к - 11.10.2018</t>
  </si>
  <si>
    <t>Павленко Т. А.</t>
  </si>
  <si>
    <t>Троць І.Л.</t>
  </si>
  <si>
    <t>Курчинська Р.П.</t>
  </si>
  <si>
    <t>Кондратовець Н.В.</t>
  </si>
  <si>
    <t>Архипчук А. С.</t>
  </si>
  <si>
    <t>Остапчук Л. К.</t>
  </si>
  <si>
    <t>Бондарук Г. Г.</t>
  </si>
  <si>
    <t>Лаборант клінічної лабораторії</t>
  </si>
  <si>
    <t>Рудь В. А.</t>
  </si>
  <si>
    <t>вища категорія лабораторна справа (клініка) № 363-ос/к - 12.10.2018</t>
  </si>
  <si>
    <t>Котюк О.В.</t>
  </si>
  <si>
    <t>Капітанюк Л.М.</t>
  </si>
  <si>
    <t>ОПЕРАЦІЙНИЙ БЛОК</t>
  </si>
  <si>
    <t>Сестра медична операційна ( брат медичний операційний )</t>
  </si>
  <si>
    <t>Синюк А.С.</t>
  </si>
  <si>
    <t>Готь Т. І.</t>
  </si>
  <si>
    <t>Лясковська Н.М.</t>
  </si>
  <si>
    <t>Ковальчук В.В.</t>
  </si>
  <si>
    <t>Шевчук І.І.</t>
  </si>
  <si>
    <t>Рентгенолаборант</t>
  </si>
  <si>
    <t>Стасюк А.В.</t>
  </si>
  <si>
    <t>Чайка М. П.</t>
  </si>
  <si>
    <t>Драганчук Р.М.</t>
  </si>
  <si>
    <t>Іщук Л.А.</t>
  </si>
  <si>
    <t>Сестра медична (брат медичний ) з фізіотерапії</t>
  </si>
  <si>
    <t>Арестович Т.Л.</t>
  </si>
  <si>
    <t>Поліщук І.В.</t>
  </si>
  <si>
    <t>вища категорія сестринська справа № 362-ос/к - 18.12.2019</t>
  </si>
  <si>
    <t>Шевчук Т.А.</t>
  </si>
  <si>
    <t>вища категорія сестринська справа № 340-ос/к - 13.09.2018</t>
  </si>
  <si>
    <t>Гацик Т. С.</t>
  </si>
  <si>
    <t>Сестра медична (брат медичний) з лікувальної фізкультури</t>
  </si>
  <si>
    <t>Сестра медична (брат медичний) з масажу</t>
  </si>
  <si>
    <t>Власюк В.П.</t>
  </si>
  <si>
    <t>Романюк Ю. Л.</t>
  </si>
  <si>
    <t>вища категорія сестринська справа № 294-ос/к - 12.09.2019</t>
  </si>
  <si>
    <t>Лоцманова Т.М.</t>
  </si>
  <si>
    <t>Белік Л. М.</t>
  </si>
  <si>
    <t>Краснопера М.Б.</t>
  </si>
  <si>
    <t>ЦЕНТРАЛІЗОВАНА СТЕРИЛІЗАЦІЙНА</t>
  </si>
  <si>
    <t>Сестра медична ( брат медичний ) (стерилізаційної)</t>
  </si>
  <si>
    <t>Луцюк Ж. П.</t>
  </si>
  <si>
    <t>ІНФОРМАЦІЙНО - АНАЛІТИЧНИЙ ВІДДІЛ</t>
  </si>
  <si>
    <t>Статистик медичний</t>
  </si>
  <si>
    <t>ІІ категорія медична статистика № 307-ос/к  21.09.2020</t>
  </si>
  <si>
    <t>І категорія медична статистика № 141-ос/к  05.07.2019</t>
  </si>
  <si>
    <t>Годлевська Л.Є.</t>
  </si>
  <si>
    <t>Молодша медична сестра (молодший медичний брат) (санітарка палатна, санітар палатний)</t>
  </si>
  <si>
    <t>Тиндюк Н. Л.</t>
  </si>
  <si>
    <t>Деменік Т. І.</t>
  </si>
  <si>
    <t>Першко В.М.</t>
  </si>
  <si>
    <t>Шкуренко Н.Г.</t>
  </si>
  <si>
    <t>Денисюк Л.А.</t>
  </si>
  <si>
    <t>Зуй С. А.</t>
  </si>
  <si>
    <t>Маєвська Н.Б.</t>
  </si>
  <si>
    <t>Малініна Г.О.</t>
  </si>
  <si>
    <t>Осипчук Р.П.</t>
  </si>
  <si>
    <t>Романюк І.В.</t>
  </si>
  <si>
    <t>Терещук Л.М.</t>
  </si>
  <si>
    <t>Ткачук Л.Є.</t>
  </si>
  <si>
    <t>Яриніч В.А.</t>
  </si>
  <si>
    <t>Косинець Т.П.</t>
  </si>
  <si>
    <t>Майструк Ж. А.</t>
  </si>
  <si>
    <t>Лесюк Л.М.</t>
  </si>
  <si>
    <t>Левчук Т.М.</t>
  </si>
  <si>
    <t>Торожнюк С.В.</t>
  </si>
  <si>
    <t>Катеринюк Т.І.</t>
  </si>
  <si>
    <t>Солодько Ж.С.</t>
  </si>
  <si>
    <t>Шевчук Л. М.</t>
  </si>
  <si>
    <t>Шадойко Т. Р.</t>
  </si>
  <si>
    <t>Мельник Н.М.</t>
  </si>
  <si>
    <t>Мельничук Л.Ю.</t>
  </si>
  <si>
    <t>Молодша медична сестра (молодший медичний брат) (санітарка , санітар)</t>
  </si>
  <si>
    <t>Шломіна М.С.</t>
  </si>
  <si>
    <t>Московчук О.В.</t>
  </si>
  <si>
    <t>Миколайчук Л.В.</t>
  </si>
  <si>
    <t>Дем'янюк О.О.</t>
  </si>
  <si>
    <t>Белей О.Б.</t>
  </si>
  <si>
    <t>Реєстратор медичний</t>
  </si>
  <si>
    <t>Мохнюк Т. Є.</t>
  </si>
  <si>
    <t>Головний бухгалтер</t>
  </si>
  <si>
    <t>Шкробот Л.П.</t>
  </si>
  <si>
    <t>Заступник головного бухгалтера</t>
  </si>
  <si>
    <t>Бухгалтер</t>
  </si>
  <si>
    <t>провідний № 88б-од - 20.12.2018</t>
  </si>
  <si>
    <t xml:space="preserve">Бухгалтер </t>
  </si>
  <si>
    <t>Головатчук В.М.</t>
  </si>
  <si>
    <t>Завідувач господарства</t>
  </si>
  <si>
    <t>Кучинський І.Р.</t>
  </si>
  <si>
    <t>Завідувач складу</t>
  </si>
  <si>
    <t>Скрипчук Н.М.</t>
  </si>
  <si>
    <t xml:space="preserve">Інженер - програміст </t>
  </si>
  <si>
    <t xml:space="preserve">Інженер з охорони праці </t>
  </si>
  <si>
    <t>провідний № 95а-од - 12.12.2019</t>
  </si>
  <si>
    <t>Поручник О. М.</t>
  </si>
  <si>
    <t>Інженер з ремонту (медичної техніки)</t>
  </si>
  <si>
    <t>І категорія № 95а-од - 12.12.2019</t>
  </si>
  <si>
    <t>Павлюк О.П.</t>
  </si>
  <si>
    <t>Касир</t>
  </si>
  <si>
    <t>Помічник керівника</t>
  </si>
  <si>
    <t>Самелюк О.І.</t>
  </si>
  <si>
    <t>Cтарший інспектор з кадрів</t>
  </si>
  <si>
    <t>Садовий В.М.</t>
  </si>
  <si>
    <t xml:space="preserve">Фахівець з питань цивільного захисту </t>
  </si>
  <si>
    <t>провідний № 136-од - 30.12.2016</t>
  </si>
  <si>
    <t>Іванюк Р.С.</t>
  </si>
  <si>
    <t>Юрисконсульт</t>
  </si>
  <si>
    <t>Водій автотранспортних засобів</t>
  </si>
  <si>
    <t>3 класн.</t>
  </si>
  <si>
    <t>Андросюк Л.Л.</t>
  </si>
  <si>
    <t xml:space="preserve">Антонюк Р.О. </t>
  </si>
  <si>
    <t>1 класн.</t>
  </si>
  <si>
    <t>Петроченко А.В.</t>
  </si>
  <si>
    <t>Гайда Б.В.</t>
  </si>
  <si>
    <t>Кухар</t>
  </si>
  <si>
    <t>V розряд № 95а-од - 12.12.2019</t>
  </si>
  <si>
    <t>Ярмолюк Н.П.</t>
  </si>
  <si>
    <t>Карпюк Н. А.</t>
  </si>
  <si>
    <t>Кухонний робітник</t>
  </si>
  <si>
    <t>Ткачук Д.В.</t>
  </si>
  <si>
    <t>Мизернюк С.П.</t>
  </si>
  <si>
    <t>Ліфтер</t>
  </si>
  <si>
    <t>Глинюк Н.В.</t>
  </si>
  <si>
    <t>Машиніст насосних установок</t>
  </si>
  <si>
    <t>ІV розряд № 95а-од - 12.12.2019</t>
  </si>
  <si>
    <t>Євчук В. С.</t>
  </si>
  <si>
    <t>Монтажник санітарно-технічних систем і устаткування</t>
  </si>
  <si>
    <t>Прибиральник службових приміщень</t>
  </si>
  <si>
    <t>Козачук С.Б.</t>
  </si>
  <si>
    <t>Прибиральник територій</t>
  </si>
  <si>
    <t>Халімон В.Б.</t>
  </si>
  <si>
    <t>Робітник з комплексного обслуговування й ремонту будинків</t>
  </si>
  <si>
    <t>Олексюк В.Є.</t>
  </si>
  <si>
    <t>Машиніст (кочегар) котельні</t>
  </si>
  <si>
    <t xml:space="preserve">Головний бухгалтер     </t>
  </si>
  <si>
    <t>Члени комісії</t>
  </si>
  <si>
    <t>(03368) 21248</t>
  </si>
  <si>
    <t>РАЗОМ</t>
  </si>
  <si>
    <t>Штатні посади</t>
  </si>
  <si>
    <t>інший операційний дохід</t>
  </si>
  <si>
    <t>інші доходи</t>
  </si>
  <si>
    <t>січень</t>
  </si>
  <si>
    <t>липень</t>
  </si>
  <si>
    <t>Лікарські засоби</t>
  </si>
  <si>
    <t>Вироби медичного призначення та допоміжні засоби тощо</t>
  </si>
  <si>
    <t>Дезинфекційні засоби</t>
  </si>
  <si>
    <t>Засоби індивідуального захисту</t>
  </si>
  <si>
    <t>Будівельні матеріали</t>
  </si>
  <si>
    <t>Паливно-мастильні матеріали</t>
  </si>
  <si>
    <t>М’який інвентар</t>
  </si>
  <si>
    <t>Господарські матеріали</t>
  </si>
  <si>
    <t>Ремонт</t>
  </si>
  <si>
    <t>Ремонт медичного обладнання</t>
  </si>
  <si>
    <t>Ремонт приміщень</t>
  </si>
  <si>
    <t>Ремонт ліфтів, оргтехніки, ПК</t>
  </si>
  <si>
    <t>Ремонт Авто</t>
  </si>
  <si>
    <t>Інший ремонт</t>
  </si>
  <si>
    <t>Інші матеріальні витрати</t>
  </si>
  <si>
    <t>Підготовка (перепідготовка) кадрів  та підвищення кваліфікації</t>
  </si>
  <si>
    <t>Послуги (крім комунальних)</t>
  </si>
  <si>
    <t>Зовнішні послуги з медичної допомоги</t>
  </si>
  <si>
    <t>ТО/сервісне обслуговування/поверка  НМА</t>
  </si>
  <si>
    <t>ТО медобладнання</t>
  </si>
  <si>
    <t>ТО ліфти, ПК, оргтехніка, телефони</t>
  </si>
  <si>
    <t>ТО, сервісне обслуговування авто</t>
  </si>
  <si>
    <t>ТО/обслуговування ННМА (ППЗ)</t>
  </si>
  <si>
    <t>Зв'язок, інтернет</t>
  </si>
  <si>
    <t>Послуги з прання</t>
  </si>
  <si>
    <t>Охорона</t>
  </si>
  <si>
    <t>Пожежна охорона</t>
  </si>
  <si>
    <t>Послуги з харчування</t>
  </si>
  <si>
    <t>Страхування</t>
  </si>
  <si>
    <t>Податки</t>
  </si>
  <si>
    <t>Банківське обслуговування</t>
  </si>
  <si>
    <t>Відшкодування вартості пільгових ліків, інсулінів</t>
  </si>
  <si>
    <t>кВт год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</si>
  <si>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</si>
  <si>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</si>
  <si>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</si>
  <si>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</si>
  <si>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</si>
  <si>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</si>
  <si>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</si>
  <si>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</si>
  <si>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</si>
  <si>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</si>
  <si>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</si>
  <si>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</si>
  <si>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з/п</t>
  </si>
  <si>
    <t>Назва напряму діяльності (пріоритетні завдання)</t>
  </si>
  <si>
    <t>Перелік заходів програми</t>
  </si>
  <si>
    <t>Оплата комунальних послуг та енергоносіїв в т.ч. :</t>
  </si>
  <si>
    <t>Оплата електроенергії</t>
  </si>
  <si>
    <t>Оплата інших енергоносіїв (тріска паливна )</t>
  </si>
  <si>
    <t>Оплата інших комунальних послуг (утилізація сміття )</t>
  </si>
  <si>
    <t>Капітальні видатки</t>
  </si>
  <si>
    <t>Капітальні видатки в т.ч.:</t>
  </si>
  <si>
    <t>ІV квартал</t>
  </si>
  <si>
    <t>м3</t>
  </si>
  <si>
    <t>грн.</t>
  </si>
  <si>
    <t>Директор</t>
  </si>
  <si>
    <t>Медичний директор</t>
  </si>
  <si>
    <t>Заступник медичного директора з якості медичного обслуговування</t>
  </si>
  <si>
    <t>Заступник директора з економічних питань</t>
  </si>
  <si>
    <t>вища категорія акушерство і гінекологія № 109-к - 28.05.2020</t>
  </si>
  <si>
    <t>Романюк С.В.</t>
  </si>
  <si>
    <t>Лікар-епідеміолог</t>
  </si>
  <si>
    <t>Окуневич В.М.</t>
  </si>
  <si>
    <t>І категорія ортопедія і травматологія № 234-ос/к - 29.07.2021</t>
  </si>
  <si>
    <t xml:space="preserve">лікар-спеціаліст стоматологія № 2059-з - 25.06.2019 </t>
  </si>
  <si>
    <t>Гордіюк Р.Є.</t>
  </si>
  <si>
    <t>лікар-спеціаліст ультразвукова діагностика  № 3691-з  24.12.2020</t>
  </si>
  <si>
    <t>Лікар - анестезіолог дитячий</t>
  </si>
  <si>
    <t>І категорія дитяча анестезіологія № 44-ос/к - 18.03.2021</t>
  </si>
  <si>
    <t>Миколайчук О.А.</t>
  </si>
  <si>
    <t>Неїлко Р.А.</t>
  </si>
  <si>
    <t>вища категорія інфекційні хвороби № 288-ос/к - 28.10.2021</t>
  </si>
  <si>
    <t>І категорія терапія № 264-ос/к - 30.09.2021</t>
  </si>
  <si>
    <t>Панасюк Д.В.</t>
  </si>
  <si>
    <t>вища категорія фізіотерапія № 234-ос/к - 29.07.2021</t>
  </si>
  <si>
    <t>вища категорія сестринська справа № 237-ос/к - 07.10.2021</t>
  </si>
  <si>
    <t>Богачова А.А.</t>
  </si>
  <si>
    <t>вища категорія сестринська справа № 39-ос/к - 04.03.2021</t>
  </si>
  <si>
    <t>вища категорія сестринська справа № 58-ос/к - 08.04.2021</t>
  </si>
  <si>
    <t>І категорія сестринська справа № 58-ос/к - 08.04.2021</t>
  </si>
  <si>
    <t>вища категорія сестринська справа № 254-ос-к - 09.09.2021</t>
  </si>
  <si>
    <t>вища категорія сестринська справа № 43-ос/к - 17.03.2021</t>
  </si>
  <si>
    <t>вища категорія сестринська справа № 258-ос/к - 22.09.2021</t>
  </si>
  <si>
    <t>вища категорія сестринська справа (операційна) № 58-ос/к - 08.04.2021</t>
  </si>
  <si>
    <t>вища категорія лабораторна справа (клініка) № 258-ос/к - 22.09.2021</t>
  </si>
  <si>
    <t>вища категорія лабораторна справа (клініка) № 62-ос/к - 21.04.2021</t>
  </si>
  <si>
    <t>вища категорія лабораторна справа (клініка) № 39-ос/к - 04.03.2021</t>
  </si>
  <si>
    <t>І категорія лабораторна справа (клініка) № 39-ос/к - 04.03.2021</t>
  </si>
  <si>
    <t>вища категорія рентгенологія № 39-ос/к - 04.03.2021</t>
  </si>
  <si>
    <t>вища категорія рентгенологія № 69-ос/к - 06.05.2021</t>
  </si>
  <si>
    <t>Клімішина О.В.</t>
  </si>
  <si>
    <t>Росоловська Н.В.</t>
  </si>
  <si>
    <t>Психолог</t>
  </si>
  <si>
    <t>Миронюк С.О.</t>
  </si>
  <si>
    <t>Доплата до указу президента</t>
  </si>
  <si>
    <t>Придбання комп'ютерної та офісної техніки</t>
  </si>
  <si>
    <t>Лікарський персонал</t>
  </si>
  <si>
    <t>Віктор РЕДЗІЙ</t>
  </si>
  <si>
    <t>Фахівець з публічних закупівель</t>
  </si>
  <si>
    <t xml:space="preserve">предмети, матеріали </t>
  </si>
  <si>
    <t xml:space="preserve">основні засоби </t>
  </si>
  <si>
    <t>малоцінні необоротні матеріальні активи</t>
  </si>
  <si>
    <t>Факт минулого року</t>
  </si>
  <si>
    <t>Комунальне підприємство</t>
  </si>
  <si>
    <t>Міністерство охорони здоров'я України</t>
  </si>
  <si>
    <t>за СКОДУ</t>
  </si>
  <si>
    <t>Рожищенська міська територіальна громада</t>
  </si>
  <si>
    <t>01982910</t>
  </si>
  <si>
    <t>0724510100</t>
  </si>
  <si>
    <r>
      <t xml:space="preserve">Витрати на канцтовари, офісне приладдя та устаткування , грн.
</t>
    </r>
    <r>
      <rPr>
        <sz val="16"/>
        <rFont val="Times New Roman"/>
        <family val="1"/>
        <charset val="204"/>
      </rPr>
      <t>(частина адміністративних витрат)</t>
    </r>
  </si>
  <si>
    <t>Рожищенський міський голова</t>
  </si>
  <si>
    <t xml:space="preserve">        Вячеслав ПОЛІЩУК</t>
  </si>
  <si>
    <t>Керівники структурних підрозділів</t>
  </si>
  <si>
    <t>Інші працівники</t>
  </si>
  <si>
    <t xml:space="preserve">Керівники </t>
  </si>
  <si>
    <t xml:space="preserve">Середній медичний персонал </t>
  </si>
  <si>
    <t>Транспортний засіб (мотоцикл, квадроцикл, мотороллер) або велосипед [6]</t>
  </si>
  <si>
    <t>Небулайзер</t>
  </si>
  <si>
    <t>Мікроскоп</t>
  </si>
  <si>
    <t>Гематологічний аналізатор</t>
  </si>
  <si>
    <t>Біохімічний аналізатор</t>
  </si>
  <si>
    <t>Лабораторний посуд, дозатори, витратні матеріали</t>
  </si>
  <si>
    <t>Освітлювач переносний безтіньовий</t>
  </si>
  <si>
    <t>Стіл для інструментів, мобільний</t>
  </si>
  <si>
    <t>Холодильник для зберігання вакцин</t>
  </si>
  <si>
    <t>Сповивальний столик</t>
  </si>
  <si>
    <t>Ширма</t>
  </si>
  <si>
    <t>Ноші медичні</t>
  </si>
  <si>
    <t>Крісло-каталка</t>
  </si>
  <si>
    <t>Загальна оглядова цифрова камера (автофокус, цифровий зум, поляризаційний фільтр, автобаланс білого)</t>
  </si>
  <si>
    <t>Інтерактивний цифровий стетоскоп</t>
  </si>
  <si>
    <t>Монітор життєво-важливих показників із цифровим інтерфейсом (АТ, термометрія, пульсоксиметрія)</t>
  </si>
  <si>
    <t>12-канальний електрокардіограф з цифровим інтерфейсом</t>
  </si>
  <si>
    <t>ІІ. Додатковий список (застосовується за умови комплектності основного списку та відповідно до наявних потреб)</t>
  </si>
  <si>
    <t>ІІІ. Обладнання для надання медичних послуг із застосуванням телемедицини</t>
  </si>
  <si>
    <t>Капітальний ремонт</t>
  </si>
  <si>
    <t>Капітальні інвестиції, зокрема:</t>
  </si>
  <si>
    <t>Адміністративні витрати, зокрема:</t>
  </si>
  <si>
    <t>Всього</t>
  </si>
  <si>
    <t>Амортизація</t>
  </si>
  <si>
    <r>
      <t>Відсоток розподілу</t>
    </r>
    <r>
      <rPr>
        <u/>
        <sz val="18"/>
        <color indexed="8"/>
        <rFont val="Times New Roman"/>
        <family val="1"/>
        <charset val="204"/>
      </rPr>
      <t xml:space="preserve"> капітальних інвестицій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</si>
  <si>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Відсоток розподілу </t>
    </r>
    <r>
      <rPr>
        <u/>
        <sz val="18"/>
        <color indexed="8"/>
        <rFont val="Times New Roman"/>
        <family val="1"/>
        <charset val="204"/>
      </rPr>
      <t>адміністративних витрат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</si>
  <si>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Витрати капітальні інвестиції відповідно до Табелю матеріально-технічного оснащення, грн.
</t>
    </r>
    <r>
      <rPr>
        <sz val="16"/>
        <rFont val="Times New Roman"/>
        <family val="1"/>
        <charset val="204"/>
      </rPr>
      <t>(частина відповідних витрат)</t>
    </r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</si>
  <si>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</si>
  <si>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</si>
  <si>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</si>
  <si>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</si>
  <si>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</si>
  <si>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</si>
  <si>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 xml:space="preserve">заробітна плата </t>
  </si>
  <si>
    <t>нарахування на оплату праці</t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</si>
  <si>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>канцтовари, офісне приладдя та устаткування</t>
    </r>
    <r>
      <rPr>
        <b/>
        <sz val="16"/>
        <rFont val="Times New Roman"/>
        <family val="1"/>
        <charset val="204"/>
      </rPr>
      <t xml:space="preserve"> відповідно до Табелю матеріально-технічного оснащення, </t>
    </r>
    <r>
      <rPr>
        <sz val="16"/>
        <rFont val="Times New Roman"/>
        <family val="1"/>
        <charset val="204"/>
      </rPr>
      <t xml:space="preserve">грн.
</t>
    </r>
    <r>
      <rPr>
        <i/>
        <sz val="16"/>
        <rFont val="Times New Roman"/>
        <family val="1"/>
        <charset val="204"/>
      </rPr>
      <t>(частина адміністративних витрат)</t>
    </r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</si>
  <si>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 xml:space="preserve">капітальні інвестиції </t>
    </r>
    <r>
      <rPr>
        <b/>
        <sz val="16"/>
        <rFont val="Times New Roman"/>
        <family val="1"/>
        <charset val="204"/>
      </rPr>
      <t xml:space="preserve">відповідно до Табелю матеріально-технічного оснащення, </t>
    </r>
    <r>
      <rPr>
        <sz val="16"/>
        <rFont val="Times New Roman"/>
        <family val="1"/>
        <charset val="204"/>
      </rPr>
      <t>грн.</t>
    </r>
    <r>
      <rPr>
        <i/>
        <sz val="16"/>
        <rFont val="Times New Roman"/>
        <family val="1"/>
        <charset val="204"/>
      </rPr>
      <t xml:space="preserve">
(частина відповідних витрат)</t>
    </r>
  </si>
  <si>
    <r>
      <t>Розподіл закупівель на 3 групи в залежності від вартості і терміну експлуатації:</t>
    </r>
    <r>
      <rPr>
        <b/>
        <i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1 група - предмети, матеріали (до 1 року);
2 група - основні засоби (більше 1 року та більше або дорівнює сумі у комірці С103 (грн.));
3 група - малоцінні необоротні матеріальні активи (більше 1 року та манше суми у комірці С103 (грн.)).</t>
    </r>
  </si>
  <si>
    <t>Контейнери: для інструментарію, витратних матеріалів тощо</t>
  </si>
  <si>
    <t>Швидкі тести: вагітність, тропоніни, ВІЛ, вірусні гепатити тощо</t>
  </si>
  <si>
    <t>Офісні меблі: столи для персоналу, стільці та (або) крісла для кабінетів і зал очікувань, шафи для документів і одягу, сейфи тощо</t>
  </si>
  <si>
    <t>Комп’ютерне обладнання: комп’ютер або ноутбук з операційною системою та доступом до мережі Інтернет, багатофункціональний пристрій (або принтер + сканер)</t>
  </si>
  <si>
    <t>комп’ютер або ноутбук з операційною системою</t>
  </si>
  <si>
    <t>Набір цифрових "скопічних" систем із генератором світла (дерматоскоп, офтальмоскоп, отоскоп, назо-фарингоскоп, сінускоп, кольпоскоп)</t>
  </si>
  <si>
    <t>Спірометр цифровий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</si>
  <si>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</si>
  <si>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</si>
  <si>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</si>
  <si>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</si>
  <si>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</si>
  <si>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</si>
  <si>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 xml:space="preserve">липень </t>
  </si>
  <si>
    <t>серпень</t>
  </si>
  <si>
    <t>вересень</t>
  </si>
  <si>
    <t>жовтень</t>
  </si>
  <si>
    <t>листопад</t>
  </si>
  <si>
    <t>грудень</t>
  </si>
  <si>
    <t xml:space="preserve">ДОХОДИ </t>
  </si>
  <si>
    <t>Дохід з місцевого бюджету за програмами, грн., у т.ч.:</t>
  </si>
  <si>
    <t>Дохід з місцевого бюджету за програмами, у т.ч.:</t>
  </si>
  <si>
    <t>Засоби індивідуального захисту (ізоляційний халат, одноразові рукавички, бахіли, респіратор класу захисту FFP2/ FFP3, шапочка медична, маска хірургічна (медична), захисний щиток)</t>
  </si>
  <si>
    <t>Розхідні матеріали одноразового використання: шпателі, оглядові рукавички, рушники паперові, серветки (в тому числі вологі), одноразові простирадла для кушетки, шприці, системи для вливання інфузійних розчинів одноразові, катетери, вакуумні пробірки (вакутайнери), стерильний перев’язувальний матеріал тощо</t>
  </si>
  <si>
    <t>системи для вливання інфузійних розчинів одноразові</t>
  </si>
  <si>
    <t>Мінімальний набір лікарських засобів для надання невідкладної медичної допомоги, в т.ч.:</t>
  </si>
  <si>
    <t>Одноразові інструменти для огляду [4]</t>
  </si>
  <si>
    <t>Одноразові малі хірургічні набори [4], в т.ч.:</t>
  </si>
  <si>
    <t>Адреналіну гідрохлорид (епінефрин) (ампули 0,18% - 1,0)</t>
  </si>
  <si>
    <t>Аміодарон (ампули 5 % -3,0)</t>
  </si>
  <si>
    <t>Атропіну сульфат (ампули 0,1 % - 1,0)</t>
  </si>
  <si>
    <t>Ацетилсаліцилова кислота (таблетки 0,5)</t>
  </si>
  <si>
    <t>Гепарин (флакони 5000 МО/мл- 5,0)</t>
  </si>
  <si>
    <t>Глюкоза (ампули 40 %- 20,0)</t>
  </si>
  <si>
    <t>Глюкоза (флакони 5 % - 200,0)</t>
  </si>
  <si>
    <t>Дротаверин (ампули 2 % -2,0)</t>
  </si>
  <si>
    <t>Дексаметазон (ампули 0,4 % - 1,0)</t>
  </si>
  <si>
    <t>Лідокаїн (ампули 2 % -2,0)</t>
  </si>
  <si>
    <t>Метоклопрамід (ампули 0,5 % - 2,0)</t>
  </si>
  <si>
    <t>Натрію хлорид  (флакони 0,9 % - 200,0)</t>
  </si>
  <si>
    <t>Нітрогліцерин (Таблетки сублінгвальні 0,0005)</t>
  </si>
  <si>
    <t>Парацетамол (таблетки 0,5)</t>
  </si>
  <si>
    <t>Пропроналол (анаприлін) (40 мг)</t>
  </si>
  <si>
    <t>Сальбутамол (аерозоль, 100 мкг доза, 200 доз у балоні)</t>
  </si>
  <si>
    <t>Фуросемід (ампули 1 % -2,0)</t>
  </si>
  <si>
    <t>Хлоргексидину біглюконат (флакон 0,05 % - 100,0)</t>
  </si>
  <si>
    <t>Каптоприл (таблетки 0,025)</t>
  </si>
  <si>
    <t>Атравматичні голки з шовною ниткою</t>
  </si>
  <si>
    <t>Голкотримач</t>
  </si>
  <si>
    <t>Затискач кровоспинний</t>
  </si>
  <si>
    <t>Зонд двосторонній ґудзиковий</t>
  </si>
  <si>
    <t>Корнцанг</t>
  </si>
  <si>
    <t>Ножиці хірургічні вертикально-зігнуті</t>
  </si>
  <si>
    <t>Ножиці хірургічні прямі</t>
  </si>
  <si>
    <t>Пінцет анатомічний</t>
  </si>
  <si>
    <t>Пінцет хірургічний</t>
  </si>
  <si>
    <t>Скальпелі одноразові або леза для скальпелю одноразові з відповідною ручкою</t>
  </si>
  <si>
    <t>Стерилізатор</t>
  </si>
  <si>
    <t xml:space="preserve"> </t>
  </si>
  <si>
    <t>Показник</t>
  </si>
  <si>
    <t>Лікарі</t>
  </si>
  <si>
    <t>(посада керівника органу управління підприємством)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</si>
  <si>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</si>
  <si>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</si>
  <si>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</si>
  <si>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</si>
  <si>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</si>
  <si>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</si>
  <si>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</si>
  <si>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</si>
  <si>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</si>
  <si>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</si>
  <si>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</si>
  <si>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</si>
  <si>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</si>
  <si>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</si>
  <si>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</si>
  <si>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</si>
  <si>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</si>
  <si>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</si>
  <si>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</si>
  <si>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</si>
  <si>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</si>
  <si>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</si>
  <si>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</si>
  <si>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</si>
  <si>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</si>
  <si>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</si>
  <si>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Прогноз на поточний рік</t>
  </si>
  <si>
    <t>Плановий рік  (усього)</t>
  </si>
  <si>
    <t xml:space="preserve">І  </t>
  </si>
  <si>
    <t xml:space="preserve">ІІ  </t>
  </si>
  <si>
    <t xml:space="preserve">ІІІ  </t>
  </si>
  <si>
    <t xml:space="preserve">ІV </t>
  </si>
  <si>
    <t xml:space="preserve">Доходи </t>
  </si>
  <si>
    <t>Дохід (виручка) від реалізації продукції (товарів, робіт, послуг)</t>
  </si>
  <si>
    <t>дохід від операційної оренди активів</t>
  </si>
  <si>
    <t>Видатки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</si>
  <si>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</si>
  <si>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</si>
  <si>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</si>
  <si>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</si>
  <si>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</si>
  <si>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</si>
  <si>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</si>
  <si>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</si>
  <si>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</si>
  <si>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Інші видатки, у т.ч.</t>
  </si>
  <si>
    <t>Резервний фонд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</si>
  <si>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</si>
  <si>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</si>
  <si>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</si>
  <si>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</si>
  <si>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</si>
  <si>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</si>
  <si>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</si>
  <si>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</si>
  <si>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</si>
  <si>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</si>
  <si>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</si>
  <si>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</si>
  <si>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</si>
  <si>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</si>
  <si>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</si>
  <si>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</si>
  <si>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</si>
  <si>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</si>
  <si>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</si>
  <si>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</si>
  <si>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</si>
  <si>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</si>
  <si>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</si>
  <si>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</si>
  <si>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</si>
  <si>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VІ. Звіт про фінансовий стан</t>
  </si>
  <si>
    <t>Усього активи</t>
  </si>
  <si>
    <t>Дебіторська заборгованість</t>
  </si>
  <si>
    <t>Кредиторська заборгованість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</si>
  <si>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</si>
  <si>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</si>
  <si>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</si>
  <si>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</si>
  <si>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</si>
  <si>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Фонд оплати праці, у т.ч.:</t>
  </si>
  <si>
    <t>Середньомісячні витрати на оплату праці одного працівника, у т.ч.:</t>
  </si>
  <si>
    <t>Заборгованість за заробітною платою, у т.ч.:</t>
  </si>
  <si>
    <t>І квартал</t>
  </si>
  <si>
    <t>ІІ квартал</t>
  </si>
  <si>
    <t>ІІІ квартал</t>
  </si>
  <si>
    <t>IV квартал</t>
  </si>
  <si>
    <t>рік</t>
  </si>
  <si>
    <t>х</t>
  </si>
  <si>
    <t>I квартал</t>
  </si>
  <si>
    <t>Благодійна допомога, грн.</t>
  </si>
  <si>
    <t xml:space="preserve">І квартал </t>
  </si>
  <si>
    <t xml:space="preserve">ІІ квартал </t>
  </si>
  <si>
    <t xml:space="preserve">ІІІ квартал </t>
  </si>
  <si>
    <t xml:space="preserve">IV квартал </t>
  </si>
  <si>
    <t xml:space="preserve">Всього </t>
  </si>
  <si>
    <t>Фінансовий план поточного року (затверджений зі змінами)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</si>
  <si>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</si>
  <si>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</si>
  <si>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</si>
  <si>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</si>
  <si>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</si>
  <si>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III. Інвестиційна діяльність</t>
  </si>
  <si>
    <t>Капітальні інвестиції, у т.ч.:</t>
  </si>
  <si>
    <t>IV. Фінансова діяльність</t>
  </si>
  <si>
    <t>Найменування обладнання</t>
  </si>
  <si>
    <t>Потреба в закупівлі, шт
Всього по всім структурним підрозділам</t>
  </si>
  <si>
    <t>Оціночна вартість за 1 штуку, грн</t>
  </si>
  <si>
    <t>Оціночна сума, грн</t>
  </si>
  <si>
    <t>І. Основний список</t>
  </si>
  <si>
    <t>Інші матеріали, не зазначені в Примірному табелі</t>
  </si>
  <si>
    <t>Керівники</t>
  </si>
  <si>
    <t>Надходження відсотків від залишків коштів на поточних та депозитних рахунках, грн.</t>
  </si>
  <si>
    <t>Надходження від реалізації оборотних і необоротних активів, грн.</t>
  </si>
  <si>
    <t>Інші доходи:</t>
  </si>
  <si>
    <t>дохід від реалізації оборотних і необоротних активів</t>
  </si>
  <si>
    <t>відсотки отримані (поточні рахунки і депозити)</t>
  </si>
  <si>
    <t>Інші операційні доходи, грн.</t>
  </si>
  <si>
    <t>Вартість основних засобів</t>
  </si>
  <si>
    <t>Основні засоби</t>
  </si>
  <si>
    <t>Малоцінні необоротні матеріальні активи</t>
  </si>
  <si>
    <t>Предмети, матеріали</t>
  </si>
  <si>
    <t>IV  квартал</t>
  </si>
  <si>
    <t>Надходження від здачі приміщень/земельних ділянок та ін. в оренду, грн.</t>
  </si>
  <si>
    <t>Допоміжний персонал</t>
  </si>
  <si>
    <t>Інші операційні доходи, у т.ч.:</t>
  </si>
  <si>
    <t>Коефіцієнт відношення капітальних інвестицій до доходу від реалізації продукції (товарів, робіт, послуг)</t>
  </si>
  <si>
    <t>видатки на охорону праці</t>
  </si>
  <si>
    <t xml:space="preserve">Необоротні активи </t>
  </si>
  <si>
    <t>Оборотні активи</t>
  </si>
  <si>
    <t>Термін експлуатації (більше або менше 1 року)</t>
  </si>
  <si>
    <t>Ваги для дітей</t>
  </si>
  <si>
    <t>Ваги для дорослих</t>
  </si>
  <si>
    <t>Ростомір</t>
  </si>
  <si>
    <t>Медична вимірювальна стрічка (рулетка)</t>
  </si>
  <si>
    <t>Стетофонендоскоп</t>
  </si>
  <si>
    <t>Термометр (для вимірювання температури тіла), в тому числі цифровий або інфрачервоний</t>
  </si>
  <si>
    <t>Тонометр з малими, середніми і великими манжетами</t>
  </si>
  <si>
    <t>Пульсоксиметр портативний</t>
  </si>
  <si>
    <t>Отоофтальмоскоп</t>
  </si>
  <si>
    <t>Медичний ліхтарик</t>
  </si>
  <si>
    <t>Електрокардіограф [2]</t>
  </si>
  <si>
    <t>Пікфлуометр [2]</t>
  </si>
  <si>
    <t>Молоточок неврологічний</t>
  </si>
  <si>
    <t>Таблиці для перевірки гостроти зору</t>
  </si>
  <si>
    <t>Апарат визначення рівня глюкози крові у комплекті (глюкометр, смужки, одноразові ланцети, одноразові рукавички) [2]</t>
  </si>
  <si>
    <t>Центрифуга [3]</t>
  </si>
  <si>
    <t>шпателі</t>
  </si>
  <si>
    <t>оглядові рукавички</t>
  </si>
  <si>
    <t>рушники паперові</t>
  </si>
  <si>
    <t>серветки (в тому числі вологі)</t>
  </si>
  <si>
    <t>одноразові простирадла для кушетки</t>
  </si>
  <si>
    <t>шприці</t>
  </si>
  <si>
    <t>катетери</t>
  </si>
  <si>
    <t>вакуумні пробірки (вакутайнери)</t>
  </si>
  <si>
    <t>стерильний перев’язувальний матеріал</t>
  </si>
  <si>
    <t>Сумка лікаря/медсестри</t>
  </si>
  <si>
    <t>Сумка-холодильник з набором акумуляторів холоду</t>
  </si>
  <si>
    <t>Холодильник для зберігання лікарських засобів</t>
  </si>
  <si>
    <t>Кушетка, в тому числі кушетка-трансформер (гінекологічне крісло)</t>
  </si>
  <si>
    <t>Шафа для зберігання лікарських засобів та медичних виробів</t>
  </si>
  <si>
    <t>Сповивальний столик (для зали очікування)</t>
  </si>
  <si>
    <t>столи для персоналу</t>
  </si>
  <si>
    <t>стільці та (або) крісла для кабінетів</t>
  </si>
  <si>
    <t>стільці та (або) крісла зал очікувань</t>
  </si>
  <si>
    <t>шафи для документів</t>
  </si>
  <si>
    <t>шафи для одягу</t>
  </si>
  <si>
    <t>сейфи</t>
  </si>
  <si>
    <t>багатофункціональний пристрій (або принтер + сканер)</t>
  </si>
  <si>
    <t>Спеціальне (прикладне) програмне забезпечення для ПМД</t>
  </si>
  <si>
    <t>Канцелярське приладдя, витратні матеріали для комп’ютерного обладнання (папір, картриджі тощо)</t>
  </si>
  <si>
    <t>Автомобіль легковий повнопривідний (підсилювач керма та гальм) або легковий (підсилювач керма та гальм) [5]</t>
  </si>
  <si>
    <t>в місяць</t>
  </si>
  <si>
    <t>Діяльність лікарняних закладів</t>
  </si>
  <si>
    <t>Комунальна</t>
  </si>
  <si>
    <t>45100, Волинська обл., м.Рожище , вул.Коте Шилокадзе , 19</t>
  </si>
  <si>
    <t>Редзій В.С.</t>
  </si>
  <si>
    <t>86.10</t>
  </si>
  <si>
    <r>
      <t>2. Інші надходження/доход</t>
    </r>
    <r>
      <rPr>
        <b/>
        <sz val="22"/>
        <rFont val="Times New Roman"/>
        <family val="1"/>
        <charset val="204"/>
      </rPr>
      <t>и надавача МД</t>
    </r>
  </si>
  <si>
    <t xml:space="preserve">витрати на канцтовари, офісне приладдя та устаткування </t>
  </si>
  <si>
    <t>Оплата комунальних послуг та енергоносіїв</t>
  </si>
  <si>
    <t>Комунальне підприємство "Рожищенська багатопрофільна лікарня" Рожищенської міської ради</t>
  </si>
  <si>
    <t>Назва структурного підрозділу, посада, кваліфікаційна категорія ( розряд )</t>
  </si>
  <si>
    <t>Прізвище, ім"я, по-батькові</t>
  </si>
  <si>
    <t>Тарифний розряд</t>
  </si>
  <si>
    <t>Посадовий оклад</t>
  </si>
  <si>
    <t>Обсяг роботи за даною посадою (1,0; 0,75; 0,5; 0,25;)</t>
  </si>
  <si>
    <t>Доплати, що мають обов"язковий характер</t>
  </si>
  <si>
    <t>Надбавки, що мають обов"язковий характер</t>
  </si>
  <si>
    <t>Доплата до мінімальної заробітної плати</t>
  </si>
  <si>
    <t>Місячний фонд зарплати (у грн.)</t>
  </si>
  <si>
    <t>Мінімальна заробітна плата</t>
  </si>
  <si>
    <t>ОКЛАД</t>
  </si>
  <si>
    <t>Вислуга років</t>
  </si>
  <si>
    <t>Шкідливі умови праці</t>
  </si>
  <si>
    <t>Оздоровчі</t>
  </si>
  <si>
    <t>Посадовий оклад , визначений за тарифним розрядом</t>
  </si>
  <si>
    <t>Підвищення посадового окладу</t>
  </si>
  <si>
    <t>Посадовий оклад з підвищенням , сума (гр.5-11)</t>
  </si>
  <si>
    <t>За основною посадою</t>
  </si>
  <si>
    <t>За сумісництвом</t>
  </si>
  <si>
    <t>За науковий ступінь , шкідливі умови робітникам ( додаток 6 ) , шеф - кухарю , за використання дезинфікувальних засобів</t>
  </si>
  <si>
    <t>розмір доплати</t>
  </si>
  <si>
    <t>За почесне звання , тривалість безперервної роботи, класність, майстерність за спецконтинент,за вислугу років</t>
  </si>
  <si>
    <t>розмір надбавки</t>
  </si>
  <si>
    <t>За кваліфікаційну категорію Керівникам та їх заступникам , за-ування , старшинство,санітарний транспорт</t>
  </si>
  <si>
    <t>за оперативні втручання</t>
  </si>
  <si>
    <t>за диплом з відзнакою</t>
  </si>
  <si>
    <t>інші підвищення передбачені пунктом 2.2.</t>
  </si>
  <si>
    <t>у зв'язку зі шкідливими і важкими умовами оплати праці</t>
  </si>
  <si>
    <t xml:space="preserve">інші підвищення до посадового окладу </t>
  </si>
  <si>
    <t>у відсотках</t>
  </si>
  <si>
    <t>абсолютний розмір</t>
  </si>
  <si>
    <t>абсолютна сума</t>
  </si>
  <si>
    <t>Посадовий</t>
  </si>
  <si>
    <t>З підвищенням</t>
  </si>
  <si>
    <t>Підвищення</t>
  </si>
  <si>
    <t>По посадовому окладу з підвищенням</t>
  </si>
  <si>
    <t>ВИПЛАЧЕНО</t>
  </si>
  <si>
    <t>ПОТРЕБА</t>
  </si>
  <si>
    <t>2</t>
  </si>
  <si>
    <t>3</t>
  </si>
  <si>
    <t>4</t>
  </si>
  <si>
    <t>6</t>
  </si>
  <si>
    <t>7</t>
  </si>
  <si>
    <t>8</t>
  </si>
  <si>
    <t>9</t>
  </si>
  <si>
    <t>АПАРАТ УПРАВЛІННЯ</t>
  </si>
  <si>
    <t>вища категорія УОЗ № 112-ос/к - 25.06.2019</t>
  </si>
  <si>
    <t>-</t>
  </si>
  <si>
    <t>вища категорія хірургія № 295 - 31.10.2018</t>
  </si>
  <si>
    <t>Галь О.І.</t>
  </si>
  <si>
    <t>Моргун О.Є.</t>
  </si>
  <si>
    <t>ВСЬОГО</t>
  </si>
  <si>
    <t>ПОЛІКЛІНІКА</t>
  </si>
  <si>
    <t>Вінська Т.Й.</t>
  </si>
  <si>
    <t>Лікар - акушер - гінеколог</t>
  </si>
  <si>
    <t>Семенюк В.С.</t>
  </si>
  <si>
    <t>вакансія</t>
  </si>
  <si>
    <t>Лікар-дерматовенеролог</t>
  </si>
  <si>
    <t>Кузава Т.А.</t>
  </si>
  <si>
    <t>Лікар-ендокринолог</t>
  </si>
  <si>
    <t>І категорія ендокринологія № 396-ос/к - 06.12.2018</t>
  </si>
  <si>
    <t>Алі Шах А.В.</t>
  </si>
  <si>
    <t>Лікар-ендоскопіст</t>
  </si>
  <si>
    <t>І категорія ендоскопія № 23-ос/к - 28.02.2019</t>
  </si>
  <si>
    <t>Гнатюк В. І.</t>
  </si>
  <si>
    <t>Лікар-нарколог</t>
  </si>
  <si>
    <t>б/к</t>
  </si>
  <si>
    <t>Мазун Т.М.</t>
  </si>
  <si>
    <t xml:space="preserve">Рішення Рожищенської міської ради </t>
  </si>
  <si>
    <t>М. П. (власне ім'я, прізвище)</t>
  </si>
  <si>
    <t xml:space="preserve">         (власне ім'я , прізвище)    </t>
  </si>
  <si>
    <t xml:space="preserve">ЗАТВЕРДЖЕНО </t>
  </si>
  <si>
    <t>Конкретна назва предмета закупівлі</t>
  </si>
  <si>
    <t>ДК 021-2015</t>
  </si>
  <si>
    <t>1</t>
  </si>
  <si>
    <t>%</t>
  </si>
  <si>
    <t>вища категорія дерматовенерологія № 54 - ос/к - 27.12.2019</t>
  </si>
  <si>
    <t>лікар-спеціаліст стоматологія № 421/01-05 - 21.10.2021</t>
  </si>
  <si>
    <t>Іщук А.С.</t>
  </si>
  <si>
    <t>Блащук Ю.В.</t>
  </si>
  <si>
    <t>ВІДДІЛ З ІНФЕКЦІЙНОГО КОНТРОЛЮ</t>
  </si>
  <si>
    <t xml:space="preserve">АКУШЕРСЬКО-ГІНЕКОЛОГІЧНЕ ВІДДІЛЕННЯ </t>
  </si>
  <si>
    <t>ІНФЕКЦІЙНЕ ВІДДІЛЕННЯ</t>
  </si>
  <si>
    <t>Лікар - інфекціоніст</t>
  </si>
  <si>
    <t xml:space="preserve">НЕВРОЛОГІЧНЕ ВІДДІЛЕННЯ </t>
  </si>
  <si>
    <t>Завідувач відділення , лікар - невропатолог</t>
  </si>
  <si>
    <t xml:space="preserve">ТЕРАПЕВТИЧНЕ ВІДДІЛЕННЯ </t>
  </si>
  <si>
    <t xml:space="preserve">ПЕДІАТРИЧНЕ ВІДДІЛЕННЯ  </t>
  </si>
  <si>
    <t>вища категорія педіатрія № 27-ос/к - 18.02.2021</t>
  </si>
  <si>
    <t>Ткачук О.П.</t>
  </si>
  <si>
    <t>І категорія хірургія № 24-ос/к - 21.02.2022</t>
  </si>
  <si>
    <t>І категорія хірургія № 174 - 13.09.2019</t>
  </si>
  <si>
    <t>Басалик Ю.І.</t>
  </si>
  <si>
    <t>Лікар-ортопед-травматолог</t>
  </si>
  <si>
    <t xml:space="preserve">лікар-спеціаліст ортопедія травматологія № 2018 -з - 23.06.2021 </t>
  </si>
  <si>
    <t>Гіляровський В.Є.</t>
  </si>
  <si>
    <t>Мазурик О.А.</t>
  </si>
  <si>
    <t xml:space="preserve">ВІДДІЛЕННЯ АНЕСТЕЗІОЛОГІЇ ТА ІНТЕНСИВНОЇ ТЕРАПІЇ </t>
  </si>
  <si>
    <t>Завідувач відділення , лікар - анестезіолог</t>
  </si>
  <si>
    <t>лікар-спеціаліст анестезіологія та інтенсивна терапія №1976-з - 24.06.2022</t>
  </si>
  <si>
    <t>ІІ категорія анестезіологія № 85-ос/к - 20.05.2021</t>
  </si>
  <si>
    <t>Хомич В.В.</t>
  </si>
  <si>
    <t>лікар-спеціаліст анестезіологія та інтенсивна терапія №2032-з - 21.06.2019</t>
  </si>
  <si>
    <t>вища категорія клінічна лабораторна діагностика № 296-ос/к - 10.11.2021</t>
  </si>
  <si>
    <t>Лікар приймальної палати (відділення)</t>
  </si>
  <si>
    <t xml:space="preserve">Сестра медична (брат медичний ) поліклініки </t>
  </si>
  <si>
    <t>Губій О.Л.</t>
  </si>
  <si>
    <t>вища категорія сестринська справа № 318-ос/к - 22.12.2021</t>
  </si>
  <si>
    <t>вища категорія сестринська справа № 267-ос/к - 07.10.2021</t>
  </si>
  <si>
    <t>І категорія сестринська справа №16-ос/к 14.02.2019</t>
  </si>
  <si>
    <t>Богдан Л.В.</t>
  </si>
  <si>
    <t>Помічник лікаря-епідеміолога</t>
  </si>
  <si>
    <t>Іванюк М.В.</t>
  </si>
  <si>
    <t>Трофімчук І.М.</t>
  </si>
  <si>
    <t xml:space="preserve">Сестра медична ( брат медичний ) стаціонару </t>
  </si>
  <si>
    <t>вища категорія сестринська справа № 276-ос/к - 07.10.2021</t>
  </si>
  <si>
    <t xml:space="preserve">вища категорія сестринська справа № 258-ос/к - 22.09.2021 </t>
  </si>
  <si>
    <t>вища категорія сестринська справа № 201-ос/к - 08.06.2022</t>
  </si>
  <si>
    <t>Соловонюк Т.М.</t>
  </si>
  <si>
    <t>Приймачок О.М.</t>
  </si>
  <si>
    <t>вища категорія сестринська справа № 310-ос/к - 09.12.2021</t>
  </si>
  <si>
    <t>вища категорія сестринська справа (операційна) № 297-ос/к - 11.11.2021</t>
  </si>
  <si>
    <t>І категорія сестринська справа № 34-ос/к - 10.03.2022</t>
  </si>
  <si>
    <t>вища категорія сестринська справа (операційна) № 335-ос/к-07.11.2019</t>
  </si>
  <si>
    <t>вища категорія сестринська справа (операційна) № 34-ос/к - 10.03.2022</t>
  </si>
  <si>
    <t>Гацик Л. А.</t>
  </si>
  <si>
    <t>вища категорія сестринська справа № 304-ос/к - 24.11.2021</t>
  </si>
  <si>
    <t>вища категорія сестринська справа № 254-ос/к - 09.09.2021</t>
  </si>
  <si>
    <t>Борух Н.М.</t>
  </si>
  <si>
    <t>Полячук В.В.</t>
  </si>
  <si>
    <t>Вакулюк С.М.</t>
  </si>
  <si>
    <t>Криштапюк Л.Б.</t>
  </si>
  <si>
    <t>Шрай О.Є.</t>
  </si>
  <si>
    <t>Молодша медична сестра ( молодший медичний брат ) з догляду за хворими</t>
  </si>
  <si>
    <t>Войтюк Н.В.</t>
  </si>
  <si>
    <t>Кузнецова Т.В.</t>
  </si>
  <si>
    <t>Зелінська Н.М.</t>
  </si>
  <si>
    <t>Гайда С.В.</t>
  </si>
  <si>
    <t>Лавренчук С.Р.</t>
  </si>
  <si>
    <t>Робітник з благоустрою</t>
  </si>
  <si>
    <t>Людмила ШКРОБОТ</t>
  </si>
  <si>
    <t>Руслана ІВАНЮК</t>
  </si>
  <si>
    <t>Наталія ЗЕЛІНСЬКА</t>
  </si>
  <si>
    <t>Наталія РОСОЛОВСЬКА</t>
  </si>
  <si>
    <t>Євгенія РОСОЛОВСЬКА</t>
  </si>
  <si>
    <t>Світлана ШИБУНЯ</t>
  </si>
  <si>
    <t>Ігор КУЧИНСЬКИЙ</t>
  </si>
  <si>
    <t>Олена ПОРУЧНИК</t>
  </si>
  <si>
    <t>вища категорія урологія № 31-к - 18.02.2020</t>
  </si>
  <si>
    <t xml:space="preserve">План закупок відповідно до табелю матеріально-технічного оснащення </t>
  </si>
  <si>
    <t>№ п/п</t>
  </si>
  <si>
    <t>середній</t>
  </si>
  <si>
    <t>СТАЦІОНАР</t>
  </si>
  <si>
    <t>СТРУКТУРНІ ПІДРОЗДІЛИ СТАЦІОНАРУ</t>
  </si>
  <si>
    <t>ЄСВ</t>
  </si>
  <si>
    <t>ФОП</t>
  </si>
  <si>
    <t>Машиніст котлів</t>
  </si>
  <si>
    <t>Головна медична сестра</t>
  </si>
  <si>
    <t>Лікар-інфекціоніст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</si>
  <si>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</si>
  <si>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</si>
  <si>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пологах</t>
  </si>
  <si>
    <t>Профілактика, діагностика, спостереження, лікування та реабілітація пацієнтів в амбулаторних умовах</t>
  </si>
  <si>
    <t>Гістероскопія</t>
  </si>
  <si>
    <t>Стаціонарна паліативна медична допомога дорослим та дітям</t>
  </si>
  <si>
    <t>Мобільна паліативна медична допомога дорослим і дітям</t>
  </si>
  <si>
    <t>Стоматологічна допомога дорослим та дітям</t>
  </si>
  <si>
    <t>Ведення вагітності в амбулаторних умовах</t>
  </si>
  <si>
    <t>Хірургічні операції дорослим та дітям в умовах стаціонару одного дня</t>
  </si>
  <si>
    <r>
      <t xml:space="preserve">Надходження надавача від медичного обслуговування населення за програмою медичних гарантій, </t>
    </r>
    <r>
      <rPr>
        <b/>
        <i/>
        <sz val="22"/>
        <rFont val="Times New Roman"/>
        <family val="1"/>
        <charset val="204"/>
      </rPr>
      <t>грн.</t>
    </r>
  </si>
  <si>
    <r>
      <t xml:space="preserve">Інші надходження від медичного обслуговування населення , </t>
    </r>
    <r>
      <rPr>
        <i/>
        <sz val="22"/>
        <rFont val="Times New Roman"/>
        <family val="1"/>
        <charset val="204"/>
      </rPr>
      <t>грн.</t>
    </r>
  </si>
  <si>
    <r>
      <t xml:space="preserve">Інші надходження/доходи надавача МД, </t>
    </r>
    <r>
      <rPr>
        <b/>
        <i/>
        <sz val="22"/>
        <rFont val="Times New Roman"/>
        <family val="1"/>
        <charset val="204"/>
      </rPr>
      <t>грн.</t>
    </r>
  </si>
  <si>
    <r>
      <t xml:space="preserve">ВСЬОГО ДОХОДІВ надавача , </t>
    </r>
    <r>
      <rPr>
        <b/>
        <i/>
        <sz val="22"/>
        <rFont val="Times New Roman"/>
        <family val="1"/>
        <charset val="204"/>
      </rPr>
      <t>грн.</t>
    </r>
  </si>
  <si>
    <t xml:space="preserve">вища категорія психіатрія № 97-ос від 29.06.2017 ; продовжено </t>
  </si>
  <si>
    <t>вища категорія епідеміологія № 84-ос/к - 14.06.2017 продовжено</t>
  </si>
  <si>
    <t xml:space="preserve">вища категорія анестезіологія № 28-ос/к - 28.09.2017 продовжено </t>
  </si>
  <si>
    <t>вища категорія медико профілактична справа № 123-ос/к - 12.07.2017 продовжено</t>
  </si>
  <si>
    <t>вища категорія сестринська справа № 65-ос/к - 10.05.2017 продовжено</t>
  </si>
  <si>
    <t>вища категорія сестринська справа № 52-ос/к - 13.04.2017 продовжено</t>
  </si>
  <si>
    <t>вища категорія сестринська справа № 152-ос/к - 13.04.2017 продовжено</t>
  </si>
  <si>
    <t>вища категорія сестринська справа № 82-ос/к - 08.06.2017 продовжено</t>
  </si>
  <si>
    <t>вища категорія сестринська справа (операційна) № 52-ос/к - 13.04.2017 продовжено</t>
  </si>
  <si>
    <t>Бондарук - Жирибець С.В.</t>
  </si>
  <si>
    <t>Склад</t>
  </si>
  <si>
    <t>Гараж</t>
  </si>
  <si>
    <t>Харчоблок</t>
  </si>
  <si>
    <t>Інженерно-технічна служба</t>
  </si>
  <si>
    <t>Господарська служба</t>
  </si>
  <si>
    <t>Котельня</t>
  </si>
  <si>
    <t>Молодший персонал</t>
  </si>
  <si>
    <t>Реалізація окремих заходів державних (регіональних) програм, не віднесені до заходів розвитку</t>
  </si>
  <si>
    <t xml:space="preserve">Інші доходи (не зазначені вище), грн. </t>
  </si>
  <si>
    <t>АДМІНІСТРАЦІЯ</t>
  </si>
  <si>
    <t>БУХГАЛТЕРСЬКИЙ ВІДДІЛ</t>
  </si>
  <si>
    <t>ВІДДІЛ ПРАЦІ ТА СОЦІАЛЬНО-ПРАВОВОГО ЗАБЕЗПЕЧЕННЯ</t>
  </si>
  <si>
    <t>ГОСПОДАРСЬКИЙ ВІДДІЛ</t>
  </si>
  <si>
    <t>ХІРУРГІЧНЕ ВІДДІЛЕННЯ З ОПЕРАЦІЙНИМ БЛОКОМ</t>
  </si>
  <si>
    <t>РЕНТГЕН КАБІНЕТ</t>
  </si>
  <si>
    <t>Поліщук Н.В.</t>
  </si>
  <si>
    <t xml:space="preserve">№ </t>
  </si>
  <si>
    <t>лікарі</t>
  </si>
  <si>
    <t>інші</t>
  </si>
  <si>
    <t>Одиниця виміру</t>
  </si>
  <si>
    <t>Сума</t>
  </si>
  <si>
    <t>15000000-8 - Продукти харчування, напої, тютюн та супутня продукція</t>
  </si>
  <si>
    <t>03000000-1 - Сільськогосподарська, фермерська продукція, продукція рибальства, лісівництва та супутня продукція</t>
  </si>
  <si>
    <t>Вид продукції</t>
  </si>
  <si>
    <t xml:space="preserve">Кількість </t>
  </si>
  <si>
    <t>Ціна за од., грн.</t>
  </si>
  <si>
    <t>Вартість, грн.</t>
  </si>
  <si>
    <t>Молоко</t>
  </si>
  <si>
    <t>15510000-6</t>
  </si>
  <si>
    <t>Молоко та вершки</t>
  </si>
  <si>
    <t>Цибуля</t>
  </si>
  <si>
    <t>03220000-9</t>
  </si>
  <si>
    <t>Овочі, фрукти та горіхи</t>
  </si>
  <si>
    <t>Горох</t>
  </si>
  <si>
    <t>15330000-0</t>
  </si>
  <si>
    <t>Оброблені фрукти та овочі</t>
  </si>
  <si>
    <t>Крупа ячна</t>
  </si>
  <si>
    <t>15610000-7</t>
  </si>
  <si>
    <t>Продукція борошномельно-круп'яної промисловості</t>
  </si>
  <si>
    <t>Крупа перлова</t>
  </si>
  <si>
    <t>Крупа манна</t>
  </si>
  <si>
    <t>Борошно</t>
  </si>
  <si>
    <t>Вівсянка</t>
  </si>
  <si>
    <t>Крупа арнаутка</t>
  </si>
  <si>
    <t>Крупа гречана</t>
  </si>
  <si>
    <t>Рис</t>
  </si>
  <si>
    <t>Печиво</t>
  </si>
  <si>
    <t>15610000-8</t>
  </si>
  <si>
    <t>Сухарі та печиво; пресерви з хлібобулочних і кондитерських виробів</t>
  </si>
  <si>
    <t>Хліб</t>
  </si>
  <si>
    <t>15810000-9</t>
  </si>
  <si>
    <t>Хлібопродукти, свіжовипечені хлібобулочні та кондитерські вироби</t>
  </si>
  <si>
    <t>Пшоно</t>
  </si>
  <si>
    <t>Лимонна кислота</t>
  </si>
  <si>
    <t>15870000-7</t>
  </si>
  <si>
    <t>Заправки та приправи</t>
  </si>
  <si>
    <t>Яйце</t>
  </si>
  <si>
    <t>03140000-4</t>
  </si>
  <si>
    <t>Продукція тваринництва та супутня продукція</t>
  </si>
  <si>
    <t>Курятина</t>
  </si>
  <si>
    <t>15110000-2</t>
  </si>
  <si>
    <t>М’ясо</t>
  </si>
  <si>
    <t xml:space="preserve">Олiя </t>
  </si>
  <si>
    <t>15420000-8</t>
  </si>
  <si>
    <t>Рафіновані олії та жири</t>
  </si>
  <si>
    <t>Масло</t>
  </si>
  <si>
    <t>15530000-2</t>
  </si>
  <si>
    <t>Вершкове масло</t>
  </si>
  <si>
    <t>Цукор</t>
  </si>
  <si>
    <t>15831000-2</t>
  </si>
  <si>
    <t>Макарони</t>
  </si>
  <si>
    <t>15850000-1</t>
  </si>
  <si>
    <t>Макаронні вироби</t>
  </si>
  <si>
    <t>Чай чорний</t>
  </si>
  <si>
    <t>15860000-4</t>
  </si>
  <si>
    <t>Кава, чай та супутня продукція</t>
  </si>
  <si>
    <t>Лавровий лист</t>
  </si>
  <si>
    <t>Сiль</t>
  </si>
  <si>
    <t>Дрiждi</t>
  </si>
  <si>
    <t>15890000-3</t>
  </si>
  <si>
    <t>Продукти харчування та сушені продукти різні</t>
  </si>
  <si>
    <t>Буряк</t>
  </si>
  <si>
    <t>Капуста</t>
  </si>
  <si>
    <t>Морква</t>
  </si>
  <si>
    <t>Крупа пшенична</t>
  </si>
  <si>
    <t>Сардельки</t>
  </si>
  <si>
    <t>15130000-8</t>
  </si>
  <si>
    <t>М’ясопродукти</t>
  </si>
  <si>
    <t xml:space="preserve">15220000-6 </t>
  </si>
  <si>
    <t>Риба, рибне філе та інше м’ясо риби морожені</t>
  </si>
  <si>
    <t>Картопля</t>
  </si>
  <si>
    <t>Свинина</t>
  </si>
  <si>
    <t xml:space="preserve">Риба </t>
  </si>
  <si>
    <t>Номенклатура</t>
  </si>
  <si>
    <t>Кількість</t>
  </si>
  <si>
    <t>Ціна відп. Без ПДВ</t>
  </si>
  <si>
    <t>С/відп б пдв</t>
  </si>
  <si>
    <t>шт</t>
  </si>
  <si>
    <t>Парацетамол Paracetamol</t>
  </si>
  <si>
    <t>ІНФУЛГАН розчин для інфузій 10 мг/мл, по 100 мл</t>
  </si>
  <si>
    <t>пляшка</t>
  </si>
  <si>
    <t>Натрію хлорид  Sodium chloride</t>
  </si>
  <si>
    <t>Натрію хлорид 9мг/мл по 400мл розчин для інфузій у пляшках скляних</t>
  </si>
  <si>
    <t>НАТРІЮ ХЛОРИД розчин для інфузій, 9 мг/мл, по 200 мл  у пляшках скляних</t>
  </si>
  <si>
    <t>НАТРІЮ ХЛОРИД розчин для інфузій, 9 мг/мл, по 100 мл у пляшках скляних</t>
  </si>
  <si>
    <t>НАТРІЮ ХЛОРИД розчин для ін'єкцій, 9 мг/мл, по 5 мл №10</t>
  </si>
  <si>
    <t>пачка</t>
  </si>
</sst>
</file>

<file path=xl/styles.xml><?xml version="1.0" encoding="utf-8"?>
<styleSheet xmlns="http://schemas.openxmlformats.org/spreadsheetml/2006/main">
  <numFmts count="13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([$UAH]\ * #,##0.00_);_([$UAH]\ * \(#,##0.00\);_([$UAH]\ * &quot;-&quot;??_);_(@_)"/>
    <numFmt numFmtId="169" formatCode="#,##0_ ;\-#,##0\ "/>
    <numFmt numFmtId="170" formatCode="0.0"/>
    <numFmt numFmtId="171" formatCode="0.0%"/>
    <numFmt numFmtId="172" formatCode="_-* #,##0_р_._-;\-* #,##0_р_._-;_-* &quot;-&quot;_р_._-;_-@_-"/>
    <numFmt numFmtId="173" formatCode="_-* #,##0.00\ _р_._-;\-* #,##0.00\ _р_._-;_-* &quot;-&quot;??\ _р_._-;_-@_-"/>
    <numFmt numFmtId="174" formatCode="0.000"/>
    <numFmt numFmtId="175" formatCode="0.0000"/>
    <numFmt numFmtId="176" formatCode="#,##0.000000"/>
  </numFmts>
  <fonts count="1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3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26"/>
      <color indexed="3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14"/>
      <name val="Arial"/>
      <family val="2"/>
      <charset val="204"/>
    </font>
    <font>
      <b/>
      <sz val="36"/>
      <color indexed="10"/>
      <name val="Times New Roman"/>
      <family val="1"/>
      <charset val="204"/>
    </font>
    <font>
      <sz val="30"/>
      <name val="Times New Roman"/>
      <family val="1"/>
      <charset val="204"/>
    </font>
    <font>
      <sz val="50"/>
      <name val="Times New Roman"/>
      <family val="1"/>
      <charset val="204"/>
    </font>
    <font>
      <sz val="36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Helv"/>
    </font>
    <font>
      <sz val="12"/>
      <name val="UkrainianPragmatica"/>
      <charset val="204"/>
    </font>
    <font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trike/>
      <sz val="14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i/>
      <sz val="20"/>
      <name val="Times New Roman"/>
      <family val="1"/>
      <charset val="204"/>
    </font>
    <font>
      <u/>
      <sz val="10"/>
      <name val="Arial Cyr"/>
      <charset val="204"/>
    </font>
    <font>
      <sz val="15"/>
      <color indexed="36"/>
      <name val="Times New Roman"/>
      <family val="1"/>
      <charset val="204"/>
    </font>
    <font>
      <i/>
      <sz val="22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"/>
      <family val="2"/>
      <charset val="204"/>
    </font>
    <font>
      <b/>
      <sz val="26"/>
      <color indexed="18"/>
      <name val="Arial"/>
      <family val="2"/>
      <charset val="204"/>
    </font>
    <font>
      <b/>
      <sz val="26"/>
      <color indexed="62"/>
      <name val="Arial"/>
      <family val="2"/>
      <charset val="204"/>
    </font>
    <font>
      <b/>
      <sz val="26"/>
      <color indexed="18"/>
      <name val="Times New Roman"/>
      <family val="1"/>
      <charset val="204"/>
    </font>
    <font>
      <b/>
      <sz val="26"/>
      <color indexed="62"/>
      <name val="Times New Roman"/>
      <family val="1"/>
      <charset val="204"/>
    </font>
    <font>
      <sz val="26"/>
      <color indexed="8"/>
      <name val="Calibri"/>
      <family val="2"/>
    </font>
    <font>
      <sz val="26"/>
      <color indexed="12"/>
      <name val="Arial"/>
      <family val="2"/>
      <charset val="204"/>
    </font>
    <font>
      <sz val="25"/>
      <name val="Arial"/>
      <family val="2"/>
      <charset val="204"/>
    </font>
    <font>
      <u/>
      <sz val="25"/>
      <name val="Times New Roman"/>
      <family val="1"/>
      <charset val="204"/>
    </font>
    <font>
      <b/>
      <sz val="11"/>
      <name val="Calibri"/>
      <family val="2"/>
    </font>
    <font>
      <b/>
      <i/>
      <sz val="25"/>
      <name val="Times New Roman"/>
      <family val="1"/>
      <charset val="204"/>
    </font>
    <font>
      <sz val="23"/>
      <name val="Arial"/>
      <family val="2"/>
      <charset val="204"/>
    </font>
    <font>
      <sz val="23"/>
      <name val="Times New Roman"/>
      <family val="1"/>
      <charset val="204"/>
    </font>
    <font>
      <b/>
      <sz val="23"/>
      <name val="Times New Roman"/>
      <family val="1"/>
      <charset val="204"/>
    </font>
    <font>
      <sz val="35"/>
      <name val="Times New Roman"/>
      <family val="1"/>
      <charset val="204"/>
    </font>
    <font>
      <sz val="11"/>
      <name val="Calibri"/>
      <family val="2"/>
    </font>
    <font>
      <b/>
      <sz val="30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  <charset val="204"/>
    </font>
    <font>
      <b/>
      <sz val="15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20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</font>
    <font>
      <b/>
      <i/>
      <sz val="16"/>
      <name val="Times New Roman"/>
      <family val="1"/>
      <charset val="204"/>
    </font>
    <font>
      <strike/>
      <sz val="16"/>
      <name val="Times New Roman"/>
      <family val="1"/>
      <charset val="204"/>
    </font>
    <font>
      <b/>
      <sz val="15"/>
      <name val="Calibri"/>
      <family val="2"/>
    </font>
    <font>
      <sz val="15"/>
      <name val="Calibri"/>
      <family val="2"/>
    </font>
    <font>
      <sz val="10"/>
      <name val="Calibri"/>
      <family val="2"/>
    </font>
    <font>
      <i/>
      <sz val="10"/>
      <name val="Times New Roman"/>
      <family val="1"/>
      <charset val="204"/>
    </font>
    <font>
      <sz val="11"/>
      <name val="Arial"/>
      <family val="2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trike/>
      <sz val="14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8"/>
      <name val="Calibri"/>
      <family val="2"/>
    </font>
    <font>
      <sz val="22"/>
      <name val="Arial"/>
      <family val="2"/>
      <charset val="204"/>
    </font>
    <font>
      <sz val="20"/>
      <name val="Arial"/>
      <family val="2"/>
      <charset val="204"/>
    </font>
    <font>
      <b/>
      <sz val="26"/>
      <name val="Arial"/>
      <family val="2"/>
      <charset val="204"/>
    </font>
    <font>
      <sz val="26"/>
      <name val="Calibri"/>
      <family val="2"/>
    </font>
    <font>
      <sz val="14"/>
      <color indexed="8"/>
      <name val="Calibri"/>
      <family val="2"/>
      <charset val="204"/>
    </font>
    <font>
      <sz val="27"/>
      <name val="Times New Roman"/>
      <family val="1"/>
      <charset val="204"/>
    </font>
    <font>
      <b/>
      <sz val="27"/>
      <name val="Times New Roman"/>
      <family val="1"/>
      <charset val="204"/>
    </font>
    <font>
      <sz val="25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3" fillId="0" borderId="0"/>
    <xf numFmtId="0" fontId="7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148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9" fontId="1" fillId="0" borderId="0" applyFont="0" applyFill="0" applyBorder="0" applyAlignment="0" applyProtection="0"/>
    <xf numFmtId="0" fontId="62" fillId="0" borderId="0"/>
    <xf numFmtId="172" fontId="3" fillId="0" borderId="0" applyFont="0" applyFill="0" applyBorder="0" applyAlignment="0" applyProtection="0"/>
    <xf numFmtId="173" fontId="63" fillId="0" borderId="0" applyFont="0" applyFill="0" applyBorder="0" applyAlignment="0" applyProtection="0"/>
  </cellStyleXfs>
  <cellXfs count="1028">
    <xf numFmtId="0" fontId="0" fillId="0" borderId="0" xfId="0"/>
    <xf numFmtId="0" fontId="4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12" fillId="0" borderId="1" xfId="6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2" fillId="3" borderId="1" xfId="0" applyFont="1" applyFill="1" applyBorder="1" applyAlignment="1">
      <alignment wrapText="1"/>
    </xf>
    <xf numFmtId="0" fontId="12" fillId="2" borderId="0" xfId="6" applyFont="1" applyFill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3" fontId="18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9" fillId="5" borderId="0" xfId="0" applyFont="1" applyFill="1"/>
    <xf numFmtId="0" fontId="10" fillId="5" borderId="0" xfId="0" applyFont="1" applyFill="1"/>
    <xf numFmtId="0" fontId="11" fillId="0" borderId="0" xfId="0" applyFont="1" applyAlignment="1">
      <alignment horizontal="left"/>
    </xf>
    <xf numFmtId="0" fontId="9" fillId="0" borderId="0" xfId="0" applyFont="1"/>
    <xf numFmtId="0" fontId="20" fillId="2" borderId="0" xfId="0" applyFont="1" applyFill="1"/>
    <xf numFmtId="0" fontId="21" fillId="2" borderId="0" xfId="0" applyFont="1" applyFill="1"/>
    <xf numFmtId="0" fontId="14" fillId="2" borderId="0" xfId="0" applyFont="1" applyFill="1"/>
    <xf numFmtId="0" fontId="22" fillId="2" borderId="0" xfId="0" applyFont="1" applyFill="1"/>
    <xf numFmtId="0" fontId="5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9" fontId="27" fillId="4" borderId="1" xfId="14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9" fontId="27" fillId="2" borderId="0" xfId="14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30" fillId="5" borderId="0" xfId="0" applyFont="1" applyFill="1"/>
    <xf numFmtId="0" fontId="22" fillId="0" borderId="0" xfId="0" applyFont="1"/>
    <xf numFmtId="0" fontId="32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/>
    <xf numFmtId="0" fontId="39" fillId="0" borderId="0" xfId="0" applyFont="1"/>
    <xf numFmtId="0" fontId="32" fillId="0" borderId="0" xfId="0" applyFont="1" applyAlignment="1">
      <alignment horizontal="center" vertical="center"/>
    </xf>
    <xf numFmtId="0" fontId="12" fillId="3" borderId="1" xfId="6" applyFont="1" applyFill="1" applyBorder="1" applyAlignment="1">
      <alignment horizontal="left" vertical="center" wrapText="1"/>
    </xf>
    <xf numFmtId="169" fontId="49" fillId="2" borderId="1" xfId="0" applyNumberFormat="1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3" fontId="38" fillId="3" borderId="1" xfId="0" applyNumberFormat="1" applyFont="1" applyFill="1" applyBorder="1" applyAlignment="1">
      <alignment horizontal="center" vertical="center"/>
    </xf>
    <xf numFmtId="0" fontId="47" fillId="2" borderId="0" xfId="0" applyFont="1" applyFill="1"/>
    <xf numFmtId="169" fontId="49" fillId="0" borderId="1" xfId="0" applyNumberFormat="1" applyFont="1" applyBorder="1" applyAlignment="1">
      <alignment horizontal="center" vertical="center"/>
    </xf>
    <xf numFmtId="0" fontId="21" fillId="2" borderId="0" xfId="0" applyFont="1" applyFill="1" applyBorder="1"/>
    <xf numFmtId="0" fontId="20" fillId="2" borderId="0" xfId="0" applyFont="1" applyFill="1" applyBorder="1"/>
    <xf numFmtId="0" fontId="51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2" fillId="0" borderId="1" xfId="6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4" fillId="0" borderId="0" xfId="6" applyFont="1" applyBorder="1" applyAlignment="1">
      <alignment vertical="center"/>
    </xf>
    <xf numFmtId="0" fontId="54" fillId="2" borderId="0" xfId="12" applyFont="1" applyFill="1"/>
    <xf numFmtId="0" fontId="58" fillId="2" borderId="0" xfId="12" applyFont="1" applyFill="1"/>
    <xf numFmtId="0" fontId="61" fillId="2" borderId="0" xfId="12" applyFont="1" applyFill="1"/>
    <xf numFmtId="0" fontId="56" fillId="0" borderId="0" xfId="12" applyFont="1" applyFill="1" applyAlignment="1">
      <alignment horizontal="center"/>
    </xf>
    <xf numFmtId="0" fontId="54" fillId="0" borderId="0" xfId="12" applyFont="1" applyFill="1"/>
    <xf numFmtId="0" fontId="54" fillId="0" borderId="0" xfId="12" applyFill="1"/>
    <xf numFmtId="0" fontId="58" fillId="0" borderId="0" xfId="12" applyFont="1" applyFill="1"/>
    <xf numFmtId="4" fontId="39" fillId="0" borderId="1" xfId="0" applyNumberFormat="1" applyFont="1" applyFill="1" applyBorder="1" applyAlignment="1">
      <alignment horizontal="center"/>
    </xf>
    <xf numFmtId="0" fontId="5" fillId="0" borderId="0" xfId="6" applyFont="1"/>
    <xf numFmtId="0" fontId="3" fillId="0" borderId="0" xfId="6"/>
    <xf numFmtId="0" fontId="6" fillId="0" borderId="0" xfId="6" applyFont="1" applyAlignment="1">
      <alignment horizontal="center" wrapText="1"/>
    </xf>
    <xf numFmtId="0" fontId="68" fillId="0" borderId="1" xfId="6" applyFont="1" applyBorder="1" applyAlignment="1">
      <alignment horizontal="left" vertical="center" wrapText="1"/>
    </xf>
    <xf numFmtId="0" fontId="3" fillId="0" borderId="0" xfId="6" applyFont="1"/>
    <xf numFmtId="2" fontId="0" fillId="0" borderId="0" xfId="0" applyNumberFormat="1"/>
    <xf numFmtId="3" fontId="68" fillId="0" borderId="1" xfId="6" applyNumberFormat="1" applyFont="1" applyBorder="1" applyAlignment="1">
      <alignment horizontal="center" vertical="center"/>
    </xf>
    <xf numFmtId="3" fontId="69" fillId="0" borderId="1" xfId="6" applyNumberFormat="1" applyFont="1" applyBorder="1" applyAlignment="1">
      <alignment horizontal="center" vertical="center" wrapText="1"/>
    </xf>
    <xf numFmtId="0" fontId="44" fillId="0" borderId="0" xfId="12" applyFont="1" applyFill="1" applyAlignment="1">
      <alignment vertical="center"/>
    </xf>
    <xf numFmtId="2" fontId="44" fillId="0" borderId="0" xfId="12" applyNumberFormat="1" applyFont="1" applyFill="1" applyAlignment="1">
      <alignment vertical="center"/>
    </xf>
    <xf numFmtId="0" fontId="43" fillId="0" borderId="0" xfId="12" applyFont="1" applyFill="1" applyAlignment="1">
      <alignment vertical="center"/>
    </xf>
    <xf numFmtId="0" fontId="43" fillId="0" borderId="0" xfId="12" applyFont="1" applyFill="1"/>
    <xf numFmtId="0" fontId="69" fillId="0" borderId="1" xfId="6" applyFont="1" applyBorder="1" applyAlignment="1">
      <alignment vertical="center" wrapText="1"/>
    </xf>
    <xf numFmtId="0" fontId="68" fillId="0" borderId="1" xfId="6" applyFont="1" applyBorder="1" applyAlignment="1">
      <alignment vertical="center" wrapText="1"/>
    </xf>
    <xf numFmtId="3" fontId="69" fillId="0" borderId="1" xfId="6" applyNumberFormat="1" applyFont="1" applyBorder="1" applyAlignment="1">
      <alignment horizontal="center" vertical="center"/>
    </xf>
    <xf numFmtId="0" fontId="0" fillId="0" borderId="0" xfId="0" applyFont="1"/>
    <xf numFmtId="3" fontId="0" fillId="0" borderId="0" xfId="0" applyNumberFormat="1"/>
    <xf numFmtId="0" fontId="69" fillId="0" borderId="0" xfId="0" applyFont="1" applyFill="1"/>
    <xf numFmtId="0" fontId="68" fillId="0" borderId="0" xfId="0" applyFont="1" applyFill="1"/>
    <xf numFmtId="0" fontId="78" fillId="0" borderId="0" xfId="6" applyFont="1" applyAlignment="1">
      <alignment vertical="center"/>
    </xf>
    <xf numFmtId="0" fontId="67" fillId="0" borderId="1" xfId="0" applyFont="1" applyFill="1" applyBorder="1" applyAlignment="1">
      <alignment horizontal="center"/>
    </xf>
    <xf numFmtId="0" fontId="80" fillId="0" borderId="0" xfId="0" applyFont="1"/>
    <xf numFmtId="3" fontId="68" fillId="0" borderId="1" xfId="6" applyNumberFormat="1" applyFont="1" applyFill="1" applyBorder="1" applyAlignment="1">
      <alignment horizontal="center" vertical="center"/>
    </xf>
    <xf numFmtId="14" fontId="57" fillId="0" borderId="0" xfId="12" applyNumberFormat="1" applyFont="1" applyFill="1" applyAlignment="1">
      <alignment horizontal="center"/>
    </xf>
    <xf numFmtId="0" fontId="58" fillId="0" borderId="0" xfId="12" applyFont="1" applyFill="1" applyAlignment="1">
      <alignment horizontal="center"/>
    </xf>
    <xf numFmtId="0" fontId="43" fillId="0" borderId="0" xfId="12" applyFont="1" applyFill="1" applyAlignment="1">
      <alignment horizontal="center"/>
    </xf>
    <xf numFmtId="0" fontId="70" fillId="0" borderId="0" xfId="12" applyFont="1" applyFill="1" applyBorder="1" applyAlignment="1">
      <alignment horizontal="center"/>
    </xf>
    <xf numFmtId="0" fontId="56" fillId="2" borderId="0" xfId="12" applyFont="1" applyFill="1" applyAlignment="1">
      <alignment horizontal="center"/>
    </xf>
    <xf numFmtId="0" fontId="23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28" fillId="0" borderId="1" xfId="0" applyFont="1" applyBorder="1" applyAlignment="1">
      <alignment vertical="center" wrapText="1"/>
    </xf>
    <xf numFmtId="167" fontId="7" fillId="0" borderId="1" xfId="0" applyNumberFormat="1" applyFont="1" applyBorder="1"/>
    <xf numFmtId="167" fontId="28" fillId="0" borderId="1" xfId="0" applyNumberFormat="1" applyFont="1" applyBorder="1" applyAlignment="1">
      <alignment horizontal="right"/>
    </xf>
    <xf numFmtId="165" fontId="50" fillId="0" borderId="1" xfId="3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68" fontId="14" fillId="7" borderId="1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/>
    <xf numFmtId="167" fontId="24" fillId="0" borderId="1" xfId="0" applyNumberFormat="1" applyFont="1" applyFill="1" applyBorder="1" applyAlignment="1">
      <alignment horizontal="right"/>
    </xf>
    <xf numFmtId="165" fontId="50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29" fillId="0" borderId="1" xfId="0" applyFont="1" applyFill="1" applyBorder="1" applyAlignment="1">
      <alignment horizontal="left" vertical="center" wrapText="1" indent="2"/>
    </xf>
    <xf numFmtId="164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 wrapText="1"/>
    </xf>
    <xf numFmtId="167" fontId="24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41" fillId="0" borderId="1" xfId="12" applyFont="1" applyFill="1" applyBorder="1" applyAlignment="1">
      <alignment vertical="center" wrapText="1"/>
    </xf>
    <xf numFmtId="0" fontId="77" fillId="0" borderId="1" xfId="0" applyFont="1" applyFill="1" applyBorder="1" applyAlignment="1">
      <alignment horizontal="center"/>
    </xf>
    <xf numFmtId="0" fontId="0" fillId="0" borderId="0" xfId="0" applyFill="1"/>
    <xf numFmtId="0" fontId="77" fillId="0" borderId="1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/>
    <xf numFmtId="0" fontId="69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Fill="1"/>
    <xf numFmtId="1" fontId="83" fillId="0" borderId="0" xfId="0" applyNumberFormat="1" applyFont="1" applyFill="1"/>
    <xf numFmtId="0" fontId="68" fillId="0" borderId="0" xfId="0" applyFont="1" applyFill="1" applyAlignment="1">
      <alignment horizontal="center" vertical="center"/>
    </xf>
    <xf numFmtId="0" fontId="45" fillId="0" borderId="1" xfId="0" applyFont="1" applyFill="1" applyBorder="1" applyAlignment="1" applyProtection="1">
      <alignment horizontal="center" wrapText="1"/>
      <protection locked="0"/>
    </xf>
    <xf numFmtId="0" fontId="61" fillId="0" borderId="1" xfId="0" applyFont="1" applyFill="1" applyBorder="1" applyAlignment="1" applyProtection="1">
      <alignment horizontal="center" wrapText="1"/>
      <protection locked="0"/>
    </xf>
    <xf numFmtId="0" fontId="64" fillId="2" borderId="1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wrapText="1"/>
    </xf>
    <xf numFmtId="0" fontId="64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64" fillId="0" borderId="1" xfId="0" applyFont="1" applyFill="1" applyBorder="1" applyAlignment="1"/>
    <xf numFmtId="0" fontId="61" fillId="0" borderId="0" xfId="0" applyFont="1" applyAlignment="1">
      <alignment vertical="center"/>
    </xf>
    <xf numFmtId="0" fontId="40" fillId="0" borderId="1" xfId="12" applyFont="1" applyFill="1" applyBorder="1" applyAlignment="1">
      <alignment horizontal="center" vertical="center" wrapText="1"/>
    </xf>
    <xf numFmtId="0" fontId="85" fillId="0" borderId="0" xfId="12" applyFont="1" applyFill="1" applyBorder="1" applyAlignment="1">
      <alignment horizontal="left"/>
    </xf>
    <xf numFmtId="14" fontId="87" fillId="0" borderId="0" xfId="12" applyNumberFormat="1" applyFont="1" applyFill="1" applyAlignment="1"/>
    <xf numFmtId="0" fontId="88" fillId="0" borderId="0" xfId="12" applyFont="1" applyFill="1" applyAlignment="1"/>
    <xf numFmtId="0" fontId="89" fillId="0" borderId="0" xfId="12" applyFont="1" applyFill="1" applyBorder="1" applyAlignment="1">
      <alignment horizontal="left"/>
    </xf>
    <xf numFmtId="0" fontId="89" fillId="0" borderId="0" xfId="12" applyFont="1" applyFill="1" applyAlignment="1"/>
    <xf numFmtId="0" fontId="89" fillId="2" borderId="0" xfId="12" applyFont="1" applyFill="1" applyAlignment="1"/>
    <xf numFmtId="0" fontId="90" fillId="0" borderId="0" xfId="12" applyFont="1" applyFill="1" applyAlignment="1">
      <alignment horizontal="center"/>
    </xf>
    <xf numFmtId="0" fontId="91" fillId="8" borderId="0" xfId="12" applyFont="1" applyFill="1" applyAlignment="1">
      <alignment horizontal="center"/>
    </xf>
    <xf numFmtId="0" fontId="92" fillId="0" borderId="0" xfId="12" applyFont="1" applyFill="1" applyAlignment="1">
      <alignment horizontal="center"/>
    </xf>
    <xf numFmtId="0" fontId="90" fillId="0" borderId="0" xfId="12" applyFont="1" applyFill="1" applyAlignment="1">
      <alignment horizontal="right"/>
    </xf>
    <xf numFmtId="0" fontId="93" fillId="8" borderId="0" xfId="12" applyFont="1" applyFill="1" applyAlignment="1">
      <alignment horizontal="center"/>
    </xf>
    <xf numFmtId="0" fontId="89" fillId="0" borderId="0" xfId="12" applyFont="1" applyFill="1" applyAlignment="1">
      <alignment horizontal="center"/>
    </xf>
    <xf numFmtId="0" fontId="94" fillId="0" borderId="0" xfId="12" applyFont="1" applyFill="1" applyAlignment="1">
      <alignment horizontal="center"/>
    </xf>
    <xf numFmtId="2" fontId="89" fillId="0" borderId="0" xfId="12" applyNumberFormat="1" applyFont="1" applyFill="1" applyAlignment="1">
      <alignment horizontal="center"/>
    </xf>
    <xf numFmtId="0" fontId="89" fillId="0" borderId="0" xfId="12" applyFont="1" applyFill="1" applyAlignment="1">
      <alignment horizontal="right"/>
    </xf>
    <xf numFmtId="170" fontId="89" fillId="0" borderId="0" xfId="12" applyNumberFormat="1" applyFont="1" applyFill="1" applyAlignment="1">
      <alignment horizontal="right"/>
    </xf>
    <xf numFmtId="171" fontId="89" fillId="0" borderId="0" xfId="12" applyNumberFormat="1" applyFont="1" applyFill="1" applyAlignment="1">
      <alignment horizontal="right"/>
    </xf>
    <xf numFmtId="0" fontId="90" fillId="0" borderId="0" xfId="12" applyFont="1" applyFill="1" applyBorder="1" applyAlignment="1">
      <alignment horizontal="center"/>
    </xf>
    <xf numFmtId="0" fontId="90" fillId="0" borderId="0" xfId="12" applyFont="1" applyFill="1" applyBorder="1" applyAlignment="1">
      <alignment horizontal="right"/>
    </xf>
    <xf numFmtId="3" fontId="90" fillId="0" borderId="0" xfId="12" applyNumberFormat="1" applyFont="1" applyFill="1" applyBorder="1" applyAlignment="1">
      <alignment horizontal="right"/>
    </xf>
    <xf numFmtId="9" fontId="90" fillId="0" borderId="0" xfId="12" applyNumberFormat="1" applyFont="1" applyFill="1" applyBorder="1" applyAlignment="1">
      <alignment horizontal="right"/>
    </xf>
    <xf numFmtId="0" fontId="91" fillId="0" borderId="0" xfId="12" applyFont="1" applyFill="1" applyAlignment="1">
      <alignment horizontal="center"/>
    </xf>
    <xf numFmtId="0" fontId="96" fillId="0" borderId="0" xfId="12" applyFont="1" applyFill="1" applyAlignment="1">
      <alignment horizontal="right"/>
    </xf>
    <xf numFmtId="0" fontId="90" fillId="2" borderId="0" xfId="12" applyFont="1" applyFill="1" applyAlignment="1">
      <alignment horizontal="center"/>
    </xf>
    <xf numFmtId="0" fontId="97" fillId="0" borderId="0" xfId="12" applyFont="1" applyFill="1" applyAlignment="1">
      <alignment horizontal="center"/>
    </xf>
    <xf numFmtId="0" fontId="85" fillId="0" borderId="0" xfId="12" applyFont="1" applyFill="1" applyAlignment="1">
      <alignment horizontal="center"/>
    </xf>
    <xf numFmtId="0" fontId="97" fillId="0" borderId="0" xfId="12" applyFont="1" applyFill="1" applyBorder="1" applyAlignment="1">
      <alignment horizontal="center"/>
    </xf>
    <xf numFmtId="0" fontId="85" fillId="0" borderId="0" xfId="12" applyFont="1" applyFill="1" applyBorder="1"/>
    <xf numFmtId="2" fontId="97" fillId="0" borderId="0" xfId="12" applyNumberFormat="1" applyFont="1" applyFill="1" applyBorder="1" applyAlignment="1">
      <alignment horizontal="center" vertical="center" wrapText="1"/>
    </xf>
    <xf numFmtId="0" fontId="97" fillId="0" borderId="0" xfId="12" applyFont="1" applyFill="1" applyBorder="1"/>
    <xf numFmtId="9" fontId="97" fillId="0" borderId="0" xfId="12" applyNumberFormat="1" applyFont="1" applyFill="1" applyBorder="1" applyAlignment="1">
      <alignment horizontal="center" vertical="center" wrapText="1"/>
    </xf>
    <xf numFmtId="4" fontId="85" fillId="0" borderId="0" xfId="12" applyNumberFormat="1" applyFont="1" applyFill="1" applyBorder="1"/>
    <xf numFmtId="0" fontId="97" fillId="2" borderId="0" xfId="12" applyFont="1" applyFill="1" applyAlignment="1">
      <alignment horizontal="center"/>
    </xf>
    <xf numFmtId="0" fontId="99" fillId="0" borderId="0" xfId="0" applyFont="1" applyFill="1"/>
    <xf numFmtId="0" fontId="88" fillId="0" borderId="1" xfId="0" applyFont="1" applyFill="1" applyBorder="1" applyAlignment="1">
      <alignment horizontal="right" vertical="center" wrapText="1"/>
    </xf>
    <xf numFmtId="0" fontId="43" fillId="0" borderId="1" xfId="12" applyFont="1" applyFill="1" applyBorder="1" applyAlignment="1">
      <alignment vertical="center"/>
    </xf>
    <xf numFmtId="0" fontId="88" fillId="0" borderId="0" xfId="12" applyFont="1" applyFill="1" applyAlignment="1">
      <alignment vertical="center"/>
    </xf>
    <xf numFmtId="0" fontId="86" fillId="0" borderId="1" xfId="12" applyFont="1" applyFill="1" applyBorder="1" applyAlignment="1">
      <alignment vertical="center"/>
    </xf>
    <xf numFmtId="3" fontId="86" fillId="0" borderId="1" xfId="12" applyNumberFormat="1" applyFont="1" applyFill="1" applyBorder="1" applyAlignment="1">
      <alignment horizontal="center" vertical="center"/>
    </xf>
    <xf numFmtId="4" fontId="86" fillId="0" borderId="1" xfId="12" applyNumberFormat="1" applyFont="1" applyFill="1" applyBorder="1" applyAlignment="1">
      <alignment horizontal="center" vertical="center"/>
    </xf>
    <xf numFmtId="2" fontId="86" fillId="0" borderId="1" xfId="12" applyNumberFormat="1" applyFont="1" applyFill="1" applyBorder="1" applyAlignment="1">
      <alignment horizontal="center" vertical="center"/>
    </xf>
    <xf numFmtId="170" fontId="86" fillId="0" borderId="1" xfId="12" applyNumberFormat="1" applyFont="1" applyFill="1" applyBorder="1" applyAlignment="1">
      <alignment horizontal="center" vertical="center"/>
    </xf>
    <xf numFmtId="1" fontId="86" fillId="0" borderId="1" xfId="12" applyNumberFormat="1" applyFont="1" applyFill="1" applyBorder="1" applyAlignment="1">
      <alignment horizontal="center" vertical="center"/>
    </xf>
    <xf numFmtId="0" fontId="101" fillId="0" borderId="0" xfId="12" applyFont="1" applyFill="1" applyAlignment="1">
      <alignment horizontal="center"/>
    </xf>
    <xf numFmtId="0" fontId="102" fillId="0" borderId="0" xfId="12" applyFont="1" applyFill="1" applyAlignment="1">
      <alignment horizontal="center"/>
    </xf>
    <xf numFmtId="0" fontId="103" fillId="0" borderId="1" xfId="12" applyFont="1" applyFill="1" applyBorder="1" applyAlignment="1">
      <alignment vertical="center"/>
    </xf>
    <xf numFmtId="0" fontId="102" fillId="0" borderId="0" xfId="12" applyFont="1" applyFill="1" applyBorder="1"/>
    <xf numFmtId="0" fontId="101" fillId="2" borderId="0" xfId="12" applyFont="1" applyFill="1" applyAlignment="1">
      <alignment horizontal="center"/>
    </xf>
    <xf numFmtId="0" fontId="86" fillId="0" borderId="1" xfId="12" applyFont="1" applyFill="1" applyBorder="1" applyAlignment="1">
      <alignment horizontal="center" vertical="center" wrapText="1"/>
    </xf>
    <xf numFmtId="0" fontId="103" fillId="0" borderId="1" xfId="12" applyFont="1" applyFill="1" applyBorder="1" applyAlignment="1">
      <alignment horizontal="center" vertical="center" wrapText="1"/>
    </xf>
    <xf numFmtId="0" fontId="86" fillId="0" borderId="1" xfId="12" applyFont="1" applyFill="1" applyBorder="1" applyAlignment="1">
      <alignment horizontal="center" vertical="center"/>
    </xf>
    <xf numFmtId="0" fontId="85" fillId="0" borderId="1" xfId="12" applyFont="1" applyFill="1" applyBorder="1" applyAlignment="1">
      <alignment horizontal="center" vertical="center"/>
    </xf>
    <xf numFmtId="0" fontId="88" fillId="0" borderId="1" xfId="12" applyFont="1" applyFill="1" applyBorder="1" applyAlignment="1">
      <alignment horizontal="center" vertical="center"/>
    </xf>
    <xf numFmtId="0" fontId="88" fillId="0" borderId="1" xfId="12" applyFont="1" applyFill="1" applyBorder="1" applyAlignment="1">
      <alignment horizontal="right" vertical="center"/>
    </xf>
    <xf numFmtId="0" fontId="85" fillId="0" borderId="1" xfId="12" applyFont="1" applyFill="1" applyBorder="1" applyAlignment="1">
      <alignment vertical="center" wrapText="1"/>
    </xf>
    <xf numFmtId="0" fontId="102" fillId="0" borderId="1" xfId="12" applyFont="1" applyFill="1" applyBorder="1" applyAlignment="1">
      <alignment horizontal="center" vertical="center" wrapText="1"/>
    </xf>
    <xf numFmtId="2" fontId="85" fillId="0" borderId="1" xfId="12" applyNumberFormat="1" applyFont="1" applyFill="1" applyBorder="1" applyAlignment="1">
      <alignment horizontal="center" vertical="center" wrapText="1"/>
    </xf>
    <xf numFmtId="174" fontId="85" fillId="0" borderId="1" xfId="12" applyNumberFormat="1" applyFont="1" applyFill="1" applyBorder="1" applyAlignment="1">
      <alignment horizontal="center" vertical="center" wrapText="1"/>
    </xf>
    <xf numFmtId="9" fontId="85" fillId="0" borderId="1" xfId="12" applyNumberFormat="1" applyFont="1" applyFill="1" applyBorder="1" applyAlignment="1">
      <alignment horizontal="center" vertical="center" wrapText="1"/>
    </xf>
    <xf numFmtId="2" fontId="89" fillId="0" borderId="1" xfId="12" applyNumberFormat="1" applyFont="1" applyFill="1" applyBorder="1" applyAlignment="1">
      <alignment horizontal="center" vertical="center" wrapText="1"/>
    </xf>
    <xf numFmtId="0" fontId="89" fillId="0" borderId="1" xfId="12" applyFont="1" applyFill="1" applyBorder="1" applyAlignment="1">
      <alignment horizontal="right" vertical="center"/>
    </xf>
    <xf numFmtId="170" fontId="85" fillId="0" borderId="1" xfId="12" applyNumberFormat="1" applyFont="1" applyFill="1" applyBorder="1" applyAlignment="1">
      <alignment horizontal="center" vertical="center" wrapText="1"/>
    </xf>
    <xf numFmtId="2" fontId="89" fillId="0" borderId="1" xfId="12" applyNumberFormat="1" applyFont="1" applyFill="1" applyBorder="1" applyAlignment="1">
      <alignment horizontal="right" vertical="center"/>
    </xf>
    <xf numFmtId="0" fontId="85" fillId="0" borderId="1" xfId="12" applyNumberFormat="1" applyFont="1" applyFill="1" applyBorder="1" applyAlignment="1">
      <alignment horizontal="center" vertical="center" wrapText="1"/>
    </xf>
    <xf numFmtId="0" fontId="102" fillId="0" borderId="1" xfId="12" applyFont="1" applyFill="1" applyBorder="1" applyAlignment="1">
      <alignment horizontal="center" vertical="center"/>
    </xf>
    <xf numFmtId="2" fontId="88" fillId="0" borderId="1" xfId="12" applyNumberFormat="1" applyFont="1" applyFill="1" applyBorder="1" applyAlignment="1">
      <alignment horizontal="center" vertical="center"/>
    </xf>
    <xf numFmtId="1" fontId="89" fillId="0" borderId="1" xfId="12" applyNumberFormat="1" applyFont="1" applyFill="1" applyBorder="1" applyAlignment="1">
      <alignment horizontal="right" vertical="center"/>
    </xf>
    <xf numFmtId="2" fontId="86" fillId="0" borderId="1" xfId="12" applyNumberFormat="1" applyFont="1" applyFill="1" applyBorder="1" applyAlignment="1">
      <alignment horizontal="center" vertical="center" wrapText="1"/>
    </xf>
    <xf numFmtId="0" fontId="85" fillId="0" borderId="1" xfId="12" applyNumberFormat="1" applyFont="1" applyFill="1" applyBorder="1" applyAlignment="1">
      <alignment vertical="center" wrapText="1"/>
    </xf>
    <xf numFmtId="0" fontId="102" fillId="0" borderId="1" xfId="12" applyNumberFormat="1" applyFont="1" applyFill="1" applyBorder="1" applyAlignment="1">
      <alignment horizontal="center" vertical="center" wrapText="1"/>
    </xf>
    <xf numFmtId="0" fontId="100" fillId="0" borderId="1" xfId="12" applyFont="1" applyFill="1" applyBorder="1" applyAlignment="1">
      <alignment horizontal="center" vertical="center" wrapText="1"/>
    </xf>
    <xf numFmtId="0" fontId="86" fillId="0" borderId="1" xfId="12" applyFont="1" applyFill="1" applyBorder="1" applyAlignment="1">
      <alignment vertical="center" wrapText="1"/>
    </xf>
    <xf numFmtId="170" fontId="86" fillId="0" borderId="1" xfId="12" applyNumberFormat="1" applyFont="1" applyFill="1" applyBorder="1" applyAlignment="1">
      <alignment horizontal="center" vertical="center" wrapText="1"/>
    </xf>
    <xf numFmtId="0" fontId="86" fillId="0" borderId="1" xfId="12" applyNumberFormat="1" applyFont="1" applyFill="1" applyBorder="1" applyAlignment="1">
      <alignment horizontal="center" vertical="center" wrapText="1"/>
    </xf>
    <xf numFmtId="0" fontId="103" fillId="0" borderId="1" xfId="12" applyNumberFormat="1" applyFont="1" applyFill="1" applyBorder="1" applyAlignment="1">
      <alignment horizontal="center" vertical="center" wrapText="1"/>
    </xf>
    <xf numFmtId="0" fontId="86" fillId="0" borderId="1" xfId="12" applyNumberFormat="1" applyFont="1" applyFill="1" applyBorder="1" applyAlignment="1">
      <alignment horizontal="center" vertical="center"/>
    </xf>
    <xf numFmtId="0" fontId="88" fillId="0" borderId="1" xfId="12" applyNumberFormat="1" applyFont="1" applyFill="1" applyBorder="1" applyAlignment="1">
      <alignment horizontal="center" vertical="center"/>
    </xf>
    <xf numFmtId="0" fontId="100" fillId="0" borderId="1" xfId="12" applyNumberFormat="1" applyFont="1" applyFill="1" applyBorder="1" applyAlignment="1">
      <alignment horizontal="center" vertical="center" wrapText="1"/>
    </xf>
    <xf numFmtId="1" fontId="88" fillId="0" borderId="1" xfId="12" applyNumberFormat="1" applyFont="1" applyFill="1" applyBorder="1" applyAlignment="1">
      <alignment horizontal="center" vertical="center"/>
    </xf>
    <xf numFmtId="9" fontId="86" fillId="0" borderId="1" xfId="12" applyNumberFormat="1" applyFont="1" applyFill="1" applyBorder="1" applyAlignment="1">
      <alignment horizontal="center" vertical="center" wrapText="1"/>
    </xf>
    <xf numFmtId="0" fontId="103" fillId="0" borderId="1" xfId="12" applyFont="1" applyFill="1" applyBorder="1" applyAlignment="1">
      <alignment horizontal="center" vertical="center"/>
    </xf>
    <xf numFmtId="0" fontId="85" fillId="0" borderId="1" xfId="12" applyFont="1" applyFill="1" applyBorder="1" applyAlignment="1">
      <alignment horizontal="left" vertical="center" wrapText="1"/>
    </xf>
    <xf numFmtId="0" fontId="97" fillId="0" borderId="0" xfId="12" applyFont="1" applyFill="1" applyBorder="1" applyAlignment="1">
      <alignment horizontal="center" vertical="center"/>
    </xf>
    <xf numFmtId="0" fontId="85" fillId="0" borderId="0" xfId="12" applyFont="1" applyFill="1" applyBorder="1" applyAlignment="1">
      <alignment vertical="center"/>
    </xf>
    <xf numFmtId="0" fontId="97" fillId="0" borderId="0" xfId="12" applyFont="1" applyFill="1" applyBorder="1" applyAlignment="1">
      <alignment vertical="center"/>
    </xf>
    <xf numFmtId="0" fontId="85" fillId="0" borderId="0" xfId="12" applyFont="1" applyFill="1" applyBorder="1" applyAlignment="1">
      <alignment horizontal="left" vertical="center"/>
    </xf>
    <xf numFmtId="0" fontId="41" fillId="0" borderId="1" xfId="12" applyFont="1" applyFill="1" applyBorder="1" applyAlignment="1">
      <alignment vertical="center"/>
    </xf>
    <xf numFmtId="2" fontId="41" fillId="0" borderId="1" xfId="12" applyNumberFormat="1" applyFont="1" applyFill="1" applyBorder="1" applyAlignment="1">
      <alignment horizontal="center" vertical="center"/>
    </xf>
    <xf numFmtId="3" fontId="41" fillId="0" borderId="1" xfId="12" applyNumberFormat="1" applyFont="1" applyFill="1" applyBorder="1" applyAlignment="1">
      <alignment horizontal="center" vertical="center"/>
    </xf>
    <xf numFmtId="0" fontId="41" fillId="0" borderId="0" xfId="12" applyFont="1" applyFill="1" applyAlignment="1">
      <alignment vertical="center"/>
    </xf>
    <xf numFmtId="170" fontId="41" fillId="0" borderId="1" xfId="12" applyNumberFormat="1" applyFont="1" applyFill="1" applyBorder="1" applyAlignment="1">
      <alignment horizontal="center" vertical="center"/>
    </xf>
    <xf numFmtId="1" fontId="41" fillId="0" borderId="1" xfId="12" applyNumberFormat="1" applyFont="1" applyFill="1" applyBorder="1" applyAlignment="1">
      <alignment horizontal="center" vertical="center"/>
    </xf>
    <xf numFmtId="0" fontId="58" fillId="0" borderId="0" xfId="12" applyFont="1" applyFill="1" applyBorder="1" applyAlignment="1">
      <alignment horizontal="center" vertical="center"/>
    </xf>
    <xf numFmtId="0" fontId="58" fillId="0" borderId="0" xfId="12" applyFont="1" applyFill="1" applyBorder="1" applyAlignment="1">
      <alignment vertical="center"/>
    </xf>
    <xf numFmtId="0" fontId="104" fillId="0" borderId="0" xfId="12" applyFont="1" applyFill="1" applyBorder="1" applyAlignment="1">
      <alignment horizontal="center" vertical="center"/>
    </xf>
    <xf numFmtId="0" fontId="104" fillId="0" borderId="0" xfId="12" applyFont="1" applyFill="1" applyBorder="1" applyAlignment="1">
      <alignment horizontal="left" vertical="center"/>
    </xf>
    <xf numFmtId="0" fontId="104" fillId="0" borderId="2" xfId="12" applyFont="1" applyFill="1" applyBorder="1" applyAlignment="1">
      <alignment vertical="center"/>
    </xf>
    <xf numFmtId="0" fontId="104" fillId="0" borderId="2" xfId="12" applyFont="1" applyFill="1" applyBorder="1" applyAlignment="1">
      <alignment horizontal="right" vertical="center"/>
    </xf>
    <xf numFmtId="0" fontId="104" fillId="0" borderId="0" xfId="12" applyFont="1" applyFill="1" applyBorder="1" applyAlignment="1">
      <alignment vertical="center"/>
    </xf>
    <xf numFmtId="0" fontId="104" fillId="0" borderId="0" xfId="12" applyFont="1" applyFill="1" applyBorder="1" applyAlignment="1">
      <alignment horizontal="right" vertical="center"/>
    </xf>
    <xf numFmtId="0" fontId="104" fillId="0" borderId="0" xfId="12" applyFont="1" applyFill="1" applyBorder="1" applyAlignment="1">
      <alignment horizontal="center"/>
    </xf>
    <xf numFmtId="0" fontId="104" fillId="0" borderId="0" xfId="12" applyFont="1" applyFill="1" applyBorder="1" applyAlignment="1">
      <alignment horizontal="left"/>
    </xf>
    <xf numFmtId="0" fontId="104" fillId="0" borderId="2" xfId="12" applyFont="1" applyFill="1" applyBorder="1"/>
    <xf numFmtId="0" fontId="104" fillId="0" borderId="2" xfId="12" applyFont="1" applyFill="1" applyBorder="1" applyAlignment="1">
      <alignment horizontal="right"/>
    </xf>
    <xf numFmtId="0" fontId="90" fillId="0" borderId="0" xfId="12" applyFont="1" applyFill="1" applyBorder="1" applyAlignment="1">
      <alignment horizontal="center" vertical="center"/>
    </xf>
    <xf numFmtId="0" fontId="90" fillId="0" borderId="0" xfId="12" applyFont="1" applyFill="1" applyBorder="1" applyAlignment="1">
      <alignment horizontal="right" vertical="center"/>
    </xf>
    <xf numFmtId="3" fontId="90" fillId="0" borderId="0" xfId="12" applyNumberFormat="1" applyFont="1" applyFill="1" applyBorder="1" applyAlignment="1">
      <alignment horizontal="center" vertical="center"/>
    </xf>
    <xf numFmtId="0" fontId="105" fillId="0" borderId="0" xfId="0" applyFont="1" applyFill="1"/>
    <xf numFmtId="1" fontId="89" fillId="0" borderId="1" xfId="12" applyNumberFormat="1" applyFont="1" applyFill="1" applyBorder="1" applyAlignment="1">
      <alignment horizontal="center" vertical="center"/>
    </xf>
    <xf numFmtId="0" fontId="88" fillId="0" borderId="0" xfId="12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" fontId="58" fillId="0" borderId="0" xfId="12" applyNumberFormat="1" applyFont="1" applyFill="1" applyBorder="1" applyAlignment="1">
      <alignment horizontal="center" vertical="center"/>
    </xf>
    <xf numFmtId="0" fontId="106" fillId="0" borderId="0" xfId="12" applyFont="1" applyFill="1" applyBorder="1" applyAlignment="1">
      <alignment horizontal="center" vertical="center"/>
    </xf>
    <xf numFmtId="0" fontId="106" fillId="0" borderId="0" xfId="12" applyFont="1" applyFill="1"/>
    <xf numFmtId="3" fontId="5" fillId="0" borderId="0" xfId="6" applyNumberFormat="1" applyFont="1"/>
    <xf numFmtId="0" fontId="28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66" fillId="0" borderId="1" xfId="0" applyFont="1" applyFill="1" applyBorder="1" applyAlignment="1">
      <alignment wrapText="1"/>
    </xf>
    <xf numFmtId="4" fontId="67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" xfId="0" applyFont="1" applyFill="1" applyBorder="1" applyAlignment="1">
      <alignment horizontal="left"/>
    </xf>
    <xf numFmtId="4" fontId="37" fillId="0" borderId="1" xfId="0" applyNumberFormat="1" applyFont="1" applyFill="1" applyBorder="1" applyAlignment="1">
      <alignment horizontal="center"/>
    </xf>
    <xf numFmtId="0" fontId="107" fillId="0" borderId="0" xfId="0" applyFont="1" applyFill="1"/>
    <xf numFmtId="0" fontId="0" fillId="0" borderId="0" xfId="0" applyBorder="1"/>
    <xf numFmtId="0" fontId="32" fillId="0" borderId="0" xfId="0" applyFont="1" applyFill="1" applyBorder="1"/>
    <xf numFmtId="3" fontId="69" fillId="0" borderId="0" xfId="0" applyNumberFormat="1" applyFont="1" applyFill="1"/>
    <xf numFmtId="0" fontId="6" fillId="0" borderId="0" xfId="6" applyFont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/>
    </xf>
    <xf numFmtId="2" fontId="2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2" fillId="0" borderId="0" xfId="0" applyFont="1" applyFill="1"/>
    <xf numFmtId="0" fontId="7" fillId="0" borderId="1" xfId="2" applyFont="1" applyFill="1" applyBorder="1" applyAlignment="1" applyProtection="1">
      <alignment horizontal="left" vertical="top" wrapText="1"/>
    </xf>
    <xf numFmtId="0" fontId="7" fillId="0" borderId="1" xfId="2" applyFont="1" applyFill="1" applyBorder="1" applyAlignment="1" applyProtection="1">
      <alignment horizontal="right" vertical="top" wrapText="1"/>
    </xf>
    <xf numFmtId="174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/>
    <xf numFmtId="4" fontId="28" fillId="0" borderId="1" xfId="0" applyNumberFormat="1" applyFont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109" fillId="0" borderId="0" xfId="0" applyFont="1"/>
    <xf numFmtId="0" fontId="110" fillId="0" borderId="0" xfId="0" applyFont="1"/>
    <xf numFmtId="0" fontId="107" fillId="0" borderId="0" xfId="0" applyFont="1"/>
    <xf numFmtId="0" fontId="111" fillId="0" borderId="1" xfId="0" applyFont="1" applyBorder="1" applyAlignment="1">
      <alignment horizontal="center"/>
    </xf>
    <xf numFmtId="0" fontId="111" fillId="0" borderId="1" xfId="0" applyFont="1" applyBorder="1"/>
    <xf numFmtId="0" fontId="112" fillId="0" borderId="1" xfId="0" applyFont="1" applyBorder="1" applyAlignment="1">
      <alignment horizontal="center"/>
    </xf>
    <xf numFmtId="0" fontId="113" fillId="0" borderId="0" xfId="0" applyFont="1"/>
    <xf numFmtId="4" fontId="11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7" fillId="0" borderId="1" xfId="0" applyFont="1" applyBorder="1" applyAlignment="1">
      <alignment horizontal="center"/>
    </xf>
    <xf numFmtId="0" fontId="77" fillId="0" borderId="1" xfId="0" applyFont="1" applyBorder="1" applyAlignment="1">
      <alignment horizontal="left"/>
    </xf>
    <xf numFmtId="4" fontId="77" fillId="0" borderId="1" xfId="0" applyNumberFormat="1" applyFont="1" applyBorder="1" applyAlignment="1">
      <alignment horizontal="center" wrapText="1"/>
    </xf>
    <xf numFmtId="4" fontId="77" fillId="0" borderId="1" xfId="0" applyNumberFormat="1" applyFont="1" applyFill="1" applyBorder="1" applyAlignment="1">
      <alignment horizontal="center" wrapText="1"/>
    </xf>
    <xf numFmtId="0" fontId="77" fillId="8" borderId="1" xfId="0" applyFont="1" applyFill="1" applyBorder="1" applyAlignment="1">
      <alignment horizontal="center"/>
    </xf>
    <xf numFmtId="0" fontId="77" fillId="8" borderId="1" xfId="0" applyFont="1" applyFill="1" applyBorder="1" applyAlignment="1">
      <alignment horizontal="left"/>
    </xf>
    <xf numFmtId="4" fontId="77" fillId="8" borderId="1" xfId="0" applyNumberFormat="1" applyFont="1" applyFill="1" applyBorder="1" applyAlignment="1">
      <alignment horizontal="center"/>
    </xf>
    <xf numFmtId="2" fontId="77" fillId="0" borderId="1" xfId="0" applyNumberFormat="1" applyFont="1" applyBorder="1" applyAlignment="1">
      <alignment horizontal="center"/>
    </xf>
    <xf numFmtId="2" fontId="77" fillId="2" borderId="1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9" borderId="1" xfId="6" applyFont="1" applyFill="1" applyBorder="1" applyAlignment="1">
      <alignment horizontal="left" vertical="center" wrapText="1"/>
    </xf>
    <xf numFmtId="4" fontId="34" fillId="9" borderId="1" xfId="0" applyNumberFormat="1" applyFont="1" applyFill="1" applyBorder="1" applyAlignment="1">
      <alignment horizontal="center"/>
    </xf>
    <xf numFmtId="0" fontId="5" fillId="2" borderId="1" xfId="7" applyFont="1" applyFill="1" applyBorder="1" applyAlignment="1">
      <alignment horizontal="right" vertical="center" wrapText="1"/>
    </xf>
    <xf numFmtId="4" fontId="3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7" applyFont="1" applyFill="1" applyBorder="1" applyAlignment="1">
      <alignment horizontal="left" vertical="center" wrapText="1"/>
    </xf>
    <xf numFmtId="0" fontId="6" fillId="9" borderId="1" xfId="7" applyFont="1" applyFill="1" applyBorder="1" applyAlignment="1">
      <alignment vertical="center" wrapText="1"/>
    </xf>
    <xf numFmtId="0" fontId="5" fillId="8" borderId="1" xfId="7" applyFont="1" applyFill="1" applyBorder="1" applyAlignment="1">
      <alignment vertical="center" wrapText="1"/>
    </xf>
    <xf numFmtId="4" fontId="33" fillId="8" borderId="1" xfId="0" applyNumberFormat="1" applyFont="1" applyFill="1" applyBorder="1" applyAlignment="1" applyProtection="1">
      <alignment horizontal="center"/>
      <protection locked="0"/>
    </xf>
    <xf numFmtId="0" fontId="5" fillId="2" borderId="1" xfId="7" applyFont="1" applyFill="1" applyBorder="1" applyAlignment="1">
      <alignment vertical="center" wrapText="1"/>
    </xf>
    <xf numFmtId="0" fontId="17" fillId="9" borderId="1" xfId="7" applyFont="1" applyFill="1" applyBorder="1" applyAlignment="1">
      <alignment vertical="center" wrapText="1"/>
    </xf>
    <xf numFmtId="4" fontId="34" fillId="9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Border="1" applyAlignment="1">
      <alignment horizontal="center"/>
    </xf>
    <xf numFmtId="0" fontId="17" fillId="2" borderId="1" xfId="7" applyFont="1" applyFill="1" applyBorder="1" applyAlignment="1">
      <alignment vertical="center" wrapText="1"/>
    </xf>
    <xf numFmtId="0" fontId="17" fillId="2" borderId="1" xfId="7" applyFont="1" applyFill="1" applyBorder="1" applyAlignment="1">
      <alignment vertical="center"/>
    </xf>
    <xf numFmtId="0" fontId="115" fillId="2" borderId="1" xfId="7" applyFont="1" applyFill="1" applyBorder="1" applyAlignment="1">
      <alignment vertical="center" wrapText="1"/>
    </xf>
    <xf numFmtId="0" fontId="33" fillId="2" borderId="1" xfId="7" applyFont="1" applyFill="1" applyBorder="1" applyAlignment="1">
      <alignment horizontal="left" vertical="center" wrapText="1"/>
    </xf>
    <xf numFmtId="0" fontId="6" fillId="9" borderId="1" xfId="6" applyFont="1" applyFill="1" applyBorder="1" applyAlignment="1">
      <alignment horizontal="center" vertical="center" wrapText="1"/>
    </xf>
    <xf numFmtId="0" fontId="114" fillId="0" borderId="0" xfId="0" applyFont="1" applyFill="1"/>
    <xf numFmtId="0" fontId="113" fillId="0" borderId="0" xfId="0" applyFont="1" applyFill="1"/>
    <xf numFmtId="0" fontId="116" fillId="0" borderId="0" xfId="0" applyFont="1"/>
    <xf numFmtId="0" fontId="108" fillId="0" borderId="0" xfId="0" applyFont="1"/>
    <xf numFmtId="0" fontId="120" fillId="0" borderId="0" xfId="0" applyFont="1"/>
    <xf numFmtId="0" fontId="7" fillId="0" borderId="1" xfId="8" applyFont="1" applyFill="1" applyBorder="1" applyAlignment="1">
      <alignment horizontal="left" wrapText="1"/>
    </xf>
    <xf numFmtId="0" fontId="111" fillId="0" borderId="0" xfId="0" applyFont="1" applyAlignment="1">
      <alignment horizontal="center"/>
    </xf>
    <xf numFmtId="0" fontId="112" fillId="0" borderId="1" xfId="0" applyFont="1" applyBorder="1"/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12" fillId="0" borderId="0" xfId="0" applyFont="1" applyAlignment="1">
      <alignment horizontal="center"/>
    </xf>
    <xf numFmtId="0" fontId="111" fillId="0" borderId="1" xfId="0" applyFont="1" applyBorder="1" applyAlignment="1">
      <alignment horizontal="left"/>
    </xf>
    <xf numFmtId="0" fontId="111" fillId="0" borderId="0" xfId="0" applyFont="1" applyAlignment="1">
      <alignment horizontal="left"/>
    </xf>
    <xf numFmtId="0" fontId="112" fillId="0" borderId="1" xfId="0" applyFont="1" applyBorder="1" applyAlignment="1">
      <alignment horizontal="left"/>
    </xf>
    <xf numFmtId="0" fontId="28" fillId="0" borderId="0" xfId="12" applyFont="1" applyFill="1" applyBorder="1" applyAlignment="1">
      <alignment vertical="center" wrapText="1"/>
    </xf>
    <xf numFmtId="2" fontId="7" fillId="8" borderId="1" xfId="0" applyNumberFormat="1" applyFont="1" applyFill="1" applyBorder="1" applyAlignment="1">
      <alignment horizontal="center"/>
    </xf>
    <xf numFmtId="0" fontId="120" fillId="8" borderId="0" xfId="0" applyFont="1" applyFill="1"/>
    <xf numFmtId="0" fontId="66" fillId="0" borderId="0" xfId="0" applyFont="1"/>
    <xf numFmtId="0" fontId="66" fillId="0" borderId="0" xfId="0" applyFont="1" applyAlignment="1">
      <alignment horizontal="center"/>
    </xf>
    <xf numFmtId="4" fontId="66" fillId="0" borderId="0" xfId="0" applyNumberFormat="1" applyFont="1" applyAlignment="1">
      <alignment horizontal="center"/>
    </xf>
    <xf numFmtId="0" fontId="67" fillId="0" borderId="1" xfId="0" applyFont="1" applyBorder="1" applyAlignment="1">
      <alignment horizontal="right"/>
    </xf>
    <xf numFmtId="0" fontId="66" fillId="0" borderId="1" xfId="0" applyFont="1" applyBorder="1" applyAlignment="1">
      <alignment horizontal="center"/>
    </xf>
    <xf numFmtId="0" fontId="67" fillId="0" borderId="1" xfId="0" applyFont="1" applyBorder="1" applyAlignment="1"/>
    <xf numFmtId="0" fontId="67" fillId="0" borderId="1" xfId="0" applyFont="1" applyBorder="1" applyAlignment="1">
      <alignment horizontal="center"/>
    </xf>
    <xf numFmtId="0" fontId="5" fillId="8" borderId="1" xfId="0" applyFont="1" applyFill="1" applyBorder="1" applyAlignment="1"/>
    <xf numFmtId="4" fontId="5" fillId="8" borderId="1" xfId="0" applyNumberFormat="1" applyFont="1" applyFill="1" applyBorder="1" applyAlignment="1">
      <alignment horizontal="center"/>
    </xf>
    <xf numFmtId="4" fontId="6" fillId="8" borderId="1" xfId="0" applyNumberFormat="1" applyFont="1" applyFill="1" applyBorder="1" applyAlignment="1">
      <alignment horizontal="center"/>
    </xf>
    <xf numFmtId="4" fontId="66" fillId="0" borderId="1" xfId="0" applyNumberFormat="1" applyFont="1" applyBorder="1" applyAlignment="1">
      <alignment horizontal="center"/>
    </xf>
    <xf numFmtId="4" fontId="66" fillId="0" borderId="1" xfId="0" applyNumberFormat="1" applyFont="1" applyFill="1" applyBorder="1" applyAlignment="1">
      <alignment horizontal="center"/>
    </xf>
    <xf numFmtId="4" fontId="67" fillId="0" borderId="1" xfId="0" applyNumberFormat="1" applyFont="1" applyBorder="1" applyAlignment="1">
      <alignment horizontal="center"/>
    </xf>
    <xf numFmtId="0" fontId="6" fillId="8" borderId="1" xfId="0" applyFont="1" applyFill="1" applyBorder="1" applyAlignment="1"/>
    <xf numFmtId="0" fontId="66" fillId="0" borderId="1" xfId="0" applyFont="1" applyBorder="1"/>
    <xf numFmtId="0" fontId="121" fillId="0" borderId="0" xfId="0" applyFont="1"/>
    <xf numFmtId="0" fontId="75" fillId="0" borderId="0" xfId="0" applyFont="1" applyAlignment="1">
      <alignment horizontal="left"/>
    </xf>
    <xf numFmtId="0" fontId="75" fillId="0" borderId="1" xfId="0" applyFont="1" applyBorder="1" applyAlignment="1">
      <alignment horizontal="left"/>
    </xf>
    <xf numFmtId="0" fontId="75" fillId="8" borderId="1" xfId="0" applyFont="1" applyFill="1" applyBorder="1" applyAlignment="1">
      <alignment horizontal="left"/>
    </xf>
    <xf numFmtId="0" fontId="75" fillId="0" borderId="1" xfId="2" applyFont="1" applyBorder="1" applyAlignment="1" applyProtection="1">
      <alignment horizontal="left" wrapText="1"/>
    </xf>
    <xf numFmtId="0" fontId="75" fillId="0" borderId="1" xfId="2" applyFont="1" applyBorder="1" applyAlignment="1" applyProtection="1">
      <alignment horizontal="left"/>
    </xf>
    <xf numFmtId="0" fontId="75" fillId="0" borderId="1" xfId="2" applyFont="1" applyFill="1" applyBorder="1" applyAlignment="1" applyProtection="1">
      <alignment horizontal="left"/>
    </xf>
    <xf numFmtId="0" fontId="75" fillId="0" borderId="1" xfId="2" applyFont="1" applyFill="1" applyBorder="1" applyAlignment="1" applyProtection="1">
      <alignment horizontal="left" wrapText="1"/>
    </xf>
    <xf numFmtId="0" fontId="75" fillId="0" borderId="1" xfId="0" applyFont="1" applyBorder="1"/>
    <xf numFmtId="0" fontId="75" fillId="0" borderId="1" xfId="2" applyFont="1" applyBorder="1" applyAlignment="1" applyProtection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71" fillId="0" borderId="1" xfId="0" applyFont="1" applyBorder="1" applyAlignment="1">
      <alignment horizontal="left"/>
    </xf>
    <xf numFmtId="0" fontId="5" fillId="0" borderId="0" xfId="6" applyFont="1" applyFill="1" applyAlignment="1">
      <alignment vertical="center"/>
    </xf>
    <xf numFmtId="3" fontId="6" fillId="0" borderId="0" xfId="6" applyNumberFormat="1" applyFont="1" applyAlignment="1">
      <alignment vertical="center"/>
    </xf>
    <xf numFmtId="0" fontId="12" fillId="10" borderId="1" xfId="0" applyFont="1" applyFill="1" applyBorder="1" applyAlignment="1">
      <alignment wrapText="1"/>
    </xf>
    <xf numFmtId="0" fontId="77" fillId="10" borderId="1" xfId="0" applyFont="1" applyFill="1" applyBorder="1" applyAlignment="1">
      <alignment horizontal="left"/>
    </xf>
    <xf numFmtId="0" fontId="77" fillId="10" borderId="1" xfId="0" applyFont="1" applyFill="1" applyBorder="1" applyAlignment="1">
      <alignment horizontal="center"/>
    </xf>
    <xf numFmtId="2" fontId="77" fillId="10" borderId="1" xfId="0" applyNumberFormat="1" applyFont="1" applyFill="1" applyBorder="1" applyAlignment="1">
      <alignment horizontal="center"/>
    </xf>
    <xf numFmtId="0" fontId="0" fillId="10" borderId="0" xfId="0" applyFill="1"/>
    <xf numFmtId="4" fontId="77" fillId="0" borderId="0" xfId="0" applyNumberFormat="1" applyFont="1" applyAlignment="1">
      <alignment horizontal="center"/>
    </xf>
    <xf numFmtId="4" fontId="0" fillId="0" borderId="0" xfId="0" applyNumberFormat="1"/>
    <xf numFmtId="0" fontId="6" fillId="0" borderId="0" xfId="6" applyFont="1" applyFill="1" applyAlignment="1">
      <alignment vertical="center"/>
    </xf>
    <xf numFmtId="3" fontId="5" fillId="0" borderId="0" xfId="6" applyNumberFormat="1" applyFont="1" applyAlignment="1">
      <alignment vertical="center"/>
    </xf>
    <xf numFmtId="3" fontId="6" fillId="8" borderId="1" xfId="0" applyNumberFormat="1" applyFont="1" applyFill="1" applyBorder="1" applyAlignment="1">
      <alignment horizontal="center"/>
    </xf>
    <xf numFmtId="3" fontId="66" fillId="0" borderId="1" xfId="0" applyNumberFormat="1" applyFont="1" applyBorder="1" applyAlignment="1">
      <alignment horizontal="center"/>
    </xf>
    <xf numFmtId="3" fontId="67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6" applyFont="1" applyBorder="1"/>
    <xf numFmtId="0" fontId="4" fillId="0" borderId="0" xfId="6" applyFont="1"/>
    <xf numFmtId="0" fontId="4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3" xfId="6" applyFont="1" applyBorder="1" applyAlignment="1">
      <alignment horizontal="center"/>
    </xf>
    <xf numFmtId="0" fontId="4" fillId="0" borderId="1" xfId="6" applyFont="1" applyBorder="1" applyAlignment="1">
      <alignment horizontal="center" vertical="center"/>
    </xf>
    <xf numFmtId="0" fontId="12" fillId="0" borderId="1" xfId="6" applyFont="1" applyBorder="1" applyAlignment="1">
      <alignment vertical="center"/>
    </xf>
    <xf numFmtId="0" fontId="4" fillId="0" borderId="1" xfId="6" applyFont="1" applyBorder="1" applyAlignment="1">
      <alignment horizontal="left" vertical="center" wrapText="1"/>
    </xf>
    <xf numFmtId="49" fontId="4" fillId="0" borderId="1" xfId="6" applyNumberFormat="1" applyFont="1" applyBorder="1" applyAlignment="1">
      <alignment horizontal="center" vertical="center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12" fillId="0" borderId="0" xfId="6" applyFont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 shrinkToFit="1"/>
    </xf>
    <xf numFmtId="3" fontId="12" fillId="0" borderId="1" xfId="6" quotePrefix="1" applyNumberFormat="1" applyFont="1" applyBorder="1" applyAlignment="1">
      <alignment horizontal="center" vertical="center"/>
    </xf>
    <xf numFmtId="4" fontId="12" fillId="7" borderId="1" xfId="6" applyNumberFormat="1" applyFont="1" applyFill="1" applyBorder="1" applyAlignment="1">
      <alignment horizontal="center" vertical="center" wrapText="1"/>
    </xf>
    <xf numFmtId="3" fontId="12" fillId="7" borderId="1" xfId="6" applyNumberFormat="1" applyFont="1" applyFill="1" applyBorder="1" applyAlignment="1">
      <alignment horizontal="center" vertical="center" wrapText="1"/>
    </xf>
    <xf numFmtId="3" fontId="12" fillId="0" borderId="1" xfId="6" applyNumberFormat="1" applyFont="1" applyBorder="1" applyAlignment="1">
      <alignment horizontal="center" vertical="center" wrapText="1"/>
    </xf>
    <xf numFmtId="4" fontId="12" fillId="0" borderId="1" xfId="6" applyNumberFormat="1" applyFont="1" applyBorder="1" applyAlignment="1">
      <alignment horizontal="center" vertical="center" wrapText="1"/>
    </xf>
    <xf numFmtId="4" fontId="4" fillId="0" borderId="1" xfId="6" applyNumberFormat="1" applyFont="1" applyBorder="1" applyAlignment="1">
      <alignment horizontal="left" vertical="center" wrapText="1" indent="2"/>
    </xf>
    <xf numFmtId="3" fontId="4" fillId="0" borderId="1" xfId="6" quotePrefix="1" applyNumberFormat="1" applyFont="1" applyBorder="1" applyAlignment="1">
      <alignment horizontal="center" vertical="center"/>
    </xf>
    <xf numFmtId="4" fontId="4" fillId="7" borderId="1" xfId="6" applyNumberFormat="1" applyFont="1" applyFill="1" applyBorder="1" applyAlignment="1">
      <alignment horizontal="center" vertical="center" wrapText="1"/>
    </xf>
    <xf numFmtId="3" fontId="4" fillId="7" borderId="1" xfId="6" applyNumberFormat="1" applyFont="1" applyFill="1" applyBorder="1" applyAlignment="1">
      <alignment horizontal="center" vertical="center" wrapText="1"/>
    </xf>
    <xf numFmtId="3" fontId="4" fillId="0" borderId="1" xfId="6" applyNumberFormat="1" applyFont="1" applyBorder="1" applyAlignment="1">
      <alignment horizontal="center" vertical="center" wrapText="1"/>
    </xf>
    <xf numFmtId="3" fontId="4" fillId="0" borderId="1" xfId="6" applyNumberFormat="1" applyFont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left" vertical="center" wrapText="1" indent="2"/>
    </xf>
    <xf numFmtId="3" fontId="4" fillId="0" borderId="1" xfId="6" applyNumberFormat="1" applyFont="1" applyFill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center" vertical="center" wrapText="1"/>
    </xf>
    <xf numFmtId="3" fontId="4" fillId="0" borderId="1" xfId="6" applyNumberFormat="1" applyFont="1" applyFill="1" applyBorder="1" applyAlignment="1">
      <alignment horizontal="center" vertical="center" wrapText="1"/>
    </xf>
    <xf numFmtId="4" fontId="12" fillId="0" borderId="1" xfId="6" applyNumberFormat="1" applyFont="1" applyFill="1" applyBorder="1" applyAlignment="1">
      <alignment horizontal="left" vertical="center" wrapText="1"/>
    </xf>
    <xf numFmtId="3" fontId="12" fillId="0" borderId="1" xfId="6" applyNumberFormat="1" applyFont="1" applyFill="1" applyBorder="1" applyAlignment="1">
      <alignment horizontal="center" vertical="center"/>
    </xf>
    <xf numFmtId="4" fontId="12" fillId="0" borderId="1" xfId="6" applyNumberFormat="1" applyFont="1" applyFill="1" applyBorder="1" applyAlignment="1">
      <alignment horizontal="center" vertical="center" wrapText="1"/>
    </xf>
    <xf numFmtId="3" fontId="12" fillId="0" borderId="1" xfId="6" applyNumberFormat="1" applyFont="1" applyFill="1" applyBorder="1" applyAlignment="1">
      <alignment horizontal="center" vertical="center" wrapText="1"/>
    </xf>
    <xf numFmtId="4" fontId="12" fillId="0" borderId="1" xfId="6" applyNumberFormat="1" applyFont="1" applyBorder="1" applyAlignment="1">
      <alignment vertical="center"/>
    </xf>
    <xf numFmtId="4" fontId="12" fillId="0" borderId="1" xfId="6" applyNumberFormat="1" applyFont="1" applyBorder="1" applyAlignment="1">
      <alignment horizontal="left" vertical="center" wrapText="1" indent="2"/>
    </xf>
    <xf numFmtId="0" fontId="4" fillId="0" borderId="1" xfId="6" quotePrefix="1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 indent="2"/>
    </xf>
    <xf numFmtId="0" fontId="4" fillId="0" borderId="1" xfId="6" quotePrefix="1" applyFont="1" applyBorder="1" applyAlignment="1">
      <alignment horizontal="center" vertical="center"/>
    </xf>
    <xf numFmtId="4" fontId="4" fillId="0" borderId="1" xfId="6" applyNumberFormat="1" applyFont="1" applyBorder="1" applyAlignment="1">
      <alignment horizontal="center" vertical="center" wrapText="1"/>
    </xf>
    <xf numFmtId="0" fontId="12" fillId="0" borderId="1" xfId="6" quotePrefix="1" applyFont="1" applyBorder="1" applyAlignment="1">
      <alignment horizontal="center" vertical="center"/>
    </xf>
    <xf numFmtId="0" fontId="4" fillId="0" borderId="0" xfId="6" applyFont="1" applyAlignment="1">
      <alignment horizontal="left" vertical="center" wrapText="1"/>
    </xf>
    <xf numFmtId="0" fontId="4" fillId="0" borderId="0" xfId="6" quotePrefix="1" applyFont="1" applyAlignment="1">
      <alignment horizontal="center" vertical="center"/>
    </xf>
    <xf numFmtId="164" fontId="4" fillId="0" borderId="0" xfId="6" applyNumberFormat="1" applyFont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 wrapText="1"/>
    </xf>
    <xf numFmtId="165" fontId="4" fillId="0" borderId="0" xfId="6" applyNumberFormat="1" applyFont="1" applyAlignment="1">
      <alignment horizontal="right" vertical="center" wrapText="1"/>
    </xf>
    <xf numFmtId="0" fontId="4" fillId="0" borderId="0" xfId="6" applyFont="1" applyAlignment="1">
      <alignment vertical="center" wrapText="1"/>
    </xf>
    <xf numFmtId="0" fontId="40" fillId="0" borderId="0" xfId="6" applyFont="1" applyAlignment="1">
      <alignment horizontal="left" vertical="center" wrapText="1"/>
    </xf>
    <xf numFmtId="0" fontId="41" fillId="0" borderId="0" xfId="6" applyFont="1" applyAlignment="1">
      <alignment horizontal="left" vertical="center"/>
    </xf>
    <xf numFmtId="0" fontId="41" fillId="0" borderId="0" xfId="6" applyFont="1" applyAlignment="1">
      <alignment vertical="center"/>
    </xf>
    <xf numFmtId="0" fontId="40" fillId="0" borderId="0" xfId="6" applyFont="1" applyAlignment="1">
      <alignment horizontal="center" vertical="center"/>
    </xf>
    <xf numFmtId="165" fontId="40" fillId="0" borderId="0" xfId="6" applyNumberFormat="1" applyFont="1" applyAlignment="1">
      <alignment horizontal="center" vertical="center" wrapText="1"/>
    </xf>
    <xf numFmtId="165" fontId="40" fillId="0" borderId="0" xfId="6" applyNumberFormat="1" applyFont="1" applyAlignment="1">
      <alignment horizontal="right" vertical="center" wrapText="1"/>
    </xf>
    <xf numFmtId="0" fontId="40" fillId="0" borderId="0" xfId="6" quotePrefix="1" applyFont="1" applyAlignment="1">
      <alignment horizontal="center" vertical="center"/>
    </xf>
    <xf numFmtId="165" fontId="81" fillId="0" borderId="0" xfId="6" applyNumberFormat="1" applyFont="1" applyAlignment="1">
      <alignment vertical="center"/>
    </xf>
    <xf numFmtId="0" fontId="40" fillId="0" borderId="0" xfId="6" applyFont="1" applyAlignment="1">
      <alignment horizontal="left" vertical="center"/>
    </xf>
    <xf numFmtId="0" fontId="40" fillId="0" borderId="0" xfId="6" applyFont="1" applyAlignment="1">
      <alignment vertical="center"/>
    </xf>
    <xf numFmtId="0" fontId="41" fillId="0" borderId="0" xfId="6" applyFont="1"/>
    <xf numFmtId="0" fontId="41" fillId="0" borderId="0" xfId="6" applyFont="1" applyBorder="1" applyAlignment="1">
      <alignment vertical="center"/>
    </xf>
    <xf numFmtId="0" fontId="41" fillId="0" borderId="2" xfId="6" applyFont="1" applyBorder="1"/>
    <xf numFmtId="0" fontId="41" fillId="0" borderId="2" xfId="6" applyFont="1" applyBorder="1" applyAlignment="1">
      <alignment vertical="center"/>
    </xf>
    <xf numFmtId="0" fontId="40" fillId="0" borderId="2" xfId="6" applyFont="1" applyBorder="1" applyAlignment="1">
      <alignment horizontal="left"/>
    </xf>
    <xf numFmtId="0" fontId="120" fillId="7" borderId="0" xfId="0" applyFont="1" applyFill="1"/>
    <xf numFmtId="0" fontId="37" fillId="7" borderId="0" xfId="0" applyFont="1" applyFill="1"/>
    <xf numFmtId="0" fontId="7" fillId="7" borderId="1" xfId="0" quotePrefix="1" applyFont="1" applyFill="1" applyBorder="1" applyAlignment="1">
      <alignment vertical="top" wrapText="1"/>
    </xf>
    <xf numFmtId="2" fontId="7" fillId="7" borderId="1" xfId="0" applyNumberFormat="1" applyFont="1" applyFill="1" applyBorder="1" applyAlignment="1">
      <alignment horizontal="center" vertical="top"/>
    </xf>
    <xf numFmtId="0" fontId="108" fillId="0" borderId="0" xfId="0" applyFont="1" applyAlignment="1">
      <alignment horizontal="right"/>
    </xf>
    <xf numFmtId="0" fontId="108" fillId="0" borderId="0" xfId="0" applyFont="1" applyAlignment="1">
      <alignment horizontal="left"/>
    </xf>
    <xf numFmtId="0" fontId="122" fillId="7" borderId="1" xfId="0" applyFont="1" applyFill="1" applyBorder="1" applyAlignment="1">
      <alignment horizontal="left"/>
    </xf>
    <xf numFmtId="0" fontId="122" fillId="7" borderId="1" xfId="0" applyFont="1" applyFill="1" applyBorder="1" applyAlignment="1">
      <alignment horizontal="right" wrapText="1" indent="1"/>
    </xf>
    <xf numFmtId="0" fontId="39" fillId="8" borderId="0" xfId="0" applyFont="1" applyFill="1"/>
    <xf numFmtId="0" fontId="7" fillId="8" borderId="1" xfId="0" quotePrefix="1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right"/>
    </xf>
    <xf numFmtId="0" fontId="7" fillId="8" borderId="1" xfId="0" applyFont="1" applyFill="1" applyBorder="1" applyAlignment="1">
      <alignment horizontal="center"/>
    </xf>
    <xf numFmtId="0" fontId="37" fillId="8" borderId="0" xfId="0" applyFont="1" applyFill="1"/>
    <xf numFmtId="2" fontId="7" fillId="8" borderId="1" xfId="0" applyNumberFormat="1" applyFont="1" applyFill="1" applyBorder="1" applyAlignment="1">
      <alignment horizontal="center" vertical="top"/>
    </xf>
    <xf numFmtId="0" fontId="7" fillId="8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0" fontId="5" fillId="0" borderId="0" xfId="6" applyFont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10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wrapText="1"/>
    </xf>
    <xf numFmtId="0" fontId="82" fillId="0" borderId="0" xfId="2" applyFont="1" applyFill="1" applyAlignment="1" applyProtection="1">
      <alignment horizontal="left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174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/>
    </xf>
    <xf numFmtId="2" fontId="3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0" fontId="126" fillId="0" borderId="0" xfId="0" applyFont="1" applyFill="1"/>
    <xf numFmtId="0" fontId="127" fillId="0" borderId="0" xfId="0" applyFont="1" applyFill="1"/>
    <xf numFmtId="0" fontId="126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128" fillId="0" borderId="0" xfId="0" applyFont="1" applyFill="1"/>
    <xf numFmtId="0" fontId="128" fillId="0" borderId="0" xfId="0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28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1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6" fillId="0" borderId="0" xfId="0" applyFont="1" applyFill="1"/>
    <xf numFmtId="0" fontId="67" fillId="0" borderId="0" xfId="0" applyFont="1" applyFill="1" applyAlignment="1">
      <alignment horizontal="center"/>
    </xf>
    <xf numFmtId="0" fontId="66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left" wrapText="1"/>
    </xf>
    <xf numFmtId="4" fontId="28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66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73" fillId="0" borderId="0" xfId="2" applyFont="1" applyFill="1" applyAlignment="1" applyProtection="1"/>
    <xf numFmtId="0" fontId="7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0" fontId="82" fillId="0" borderId="0" xfId="2" applyFont="1" applyFill="1" applyAlignment="1" applyProtection="1"/>
    <xf numFmtId="1" fontId="7" fillId="0" borderId="1" xfId="0" applyNumberFormat="1" applyFont="1" applyFill="1" applyBorder="1" applyAlignment="1">
      <alignment horizontal="center" wrapText="1"/>
    </xf>
    <xf numFmtId="0" fontId="66" fillId="0" borderId="0" xfId="0" applyFont="1" applyFill="1" applyAlignment="1">
      <alignment horizontal="center"/>
    </xf>
    <xf numFmtId="0" fontId="28" fillId="0" borderId="0" xfId="6" applyFont="1" applyFill="1" applyBorder="1" applyAlignment="1">
      <alignment vertical="center" wrapText="1"/>
    </xf>
    <xf numFmtId="0" fontId="66" fillId="0" borderId="1" xfId="0" applyFont="1" applyFill="1" applyBorder="1" applyAlignment="1">
      <alignment horizontal="center" wrapText="1"/>
    </xf>
    <xf numFmtId="0" fontId="66" fillId="0" borderId="1" xfId="0" applyFont="1" applyFill="1" applyBorder="1" applyAlignment="1">
      <alignment horizontal="center"/>
    </xf>
    <xf numFmtId="4" fontId="37" fillId="0" borderId="1" xfId="6" applyNumberFormat="1" applyFont="1" applyFill="1" applyBorder="1" applyAlignment="1">
      <alignment horizontal="center"/>
    </xf>
    <xf numFmtId="0" fontId="28" fillId="0" borderId="0" xfId="0" applyFont="1" applyFill="1"/>
    <xf numFmtId="0" fontId="66" fillId="0" borderId="4" xfId="0" applyFont="1" applyFill="1" applyBorder="1" applyAlignment="1">
      <alignment wrapText="1"/>
    </xf>
    <xf numFmtId="0" fontId="66" fillId="0" borderId="4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center"/>
    </xf>
    <xf numFmtId="0" fontId="28" fillId="0" borderId="1" xfId="0" applyFont="1" applyFill="1" applyBorder="1"/>
    <xf numFmtId="0" fontId="7" fillId="0" borderId="1" xfId="0" applyFont="1" applyFill="1" applyBorder="1"/>
    <xf numFmtId="4" fontId="7" fillId="0" borderId="1" xfId="6" applyNumberFormat="1" applyFont="1" applyFill="1" applyBorder="1" applyAlignment="1">
      <alignment horizontal="center" wrapText="1"/>
    </xf>
    <xf numFmtId="0" fontId="7" fillId="0" borderId="1" xfId="9" applyFont="1" applyFill="1" applyBorder="1" applyAlignment="1">
      <alignment wrapText="1"/>
    </xf>
    <xf numFmtId="0" fontId="7" fillId="0" borderId="1" xfId="6" applyFont="1" applyFill="1" applyBorder="1" applyAlignment="1">
      <alignment horizontal="left" wrapText="1"/>
    </xf>
    <xf numFmtId="0" fontId="7" fillId="0" borderId="1" xfId="9" applyFont="1" applyFill="1" applyBorder="1" applyAlignment="1">
      <alignment horizontal="center" wrapText="1"/>
    </xf>
    <xf numFmtId="4" fontId="66" fillId="0" borderId="0" xfId="0" applyNumberFormat="1" applyFont="1" applyFill="1"/>
    <xf numFmtId="0" fontId="82" fillId="0" borderId="0" xfId="2" applyFont="1" applyFill="1" applyAlignment="1" applyProtection="1">
      <alignment horizontal="left" wrapText="1"/>
    </xf>
    <xf numFmtId="0" fontId="7" fillId="0" borderId="1" xfId="6" applyFont="1" applyFill="1" applyBorder="1" applyAlignment="1">
      <alignment horizontal="center" vertical="center" wrapText="1"/>
    </xf>
    <xf numFmtId="0" fontId="130" fillId="0" borderId="0" xfId="0" applyFont="1" applyFill="1" applyAlignment="1">
      <alignment horizontal="left" wrapText="1"/>
    </xf>
    <xf numFmtId="0" fontId="76" fillId="0" borderId="0" xfId="2" applyFont="1" applyFill="1" applyBorder="1" applyAlignment="1" applyProtection="1">
      <alignment wrapText="1"/>
    </xf>
    <xf numFmtId="4" fontId="7" fillId="0" borderId="1" xfId="6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wrapText="1"/>
    </xf>
    <xf numFmtId="49" fontId="7" fillId="0" borderId="1" xfId="0" quotePrefix="1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indent="1"/>
    </xf>
    <xf numFmtId="0" fontId="131" fillId="0" borderId="0" xfId="2" applyFont="1" applyFill="1" applyAlignment="1" applyProtection="1"/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7" fillId="0" borderId="1" xfId="2" applyFont="1" applyBorder="1" applyAlignment="1" applyProtection="1">
      <alignment wrapText="1"/>
    </xf>
    <xf numFmtId="0" fontId="132" fillId="0" borderId="1" xfId="6" applyFont="1" applyFill="1" applyBorder="1" applyAlignment="1">
      <alignment vertical="center" wrapText="1"/>
    </xf>
    <xf numFmtId="0" fontId="39" fillId="0" borderId="1" xfId="6" applyFont="1" applyFill="1" applyBorder="1" applyAlignment="1">
      <alignment vertical="center" wrapText="1"/>
    </xf>
    <xf numFmtId="0" fontId="66" fillId="0" borderId="1" xfId="2" applyFont="1" applyFill="1" applyBorder="1" applyAlignment="1" applyProtection="1">
      <alignment horizontal="left" wrapText="1"/>
    </xf>
    <xf numFmtId="0" fontId="39" fillId="0" borderId="1" xfId="2" applyFont="1" applyFill="1" applyBorder="1" applyAlignment="1" applyProtection="1">
      <alignment wrapText="1"/>
    </xf>
    <xf numFmtId="0" fontId="37" fillId="0" borderId="1" xfId="0" applyFont="1" applyFill="1" applyBorder="1" applyAlignment="1"/>
    <xf numFmtId="0" fontId="37" fillId="0" borderId="0" xfId="0" applyFont="1" applyFill="1" applyAlignment="1"/>
    <xf numFmtId="0" fontId="37" fillId="0" borderId="0" xfId="0" applyFont="1" applyFill="1" applyAlignment="1">
      <alignment horizontal="left"/>
    </xf>
    <xf numFmtId="4" fontId="39" fillId="0" borderId="0" xfId="0" applyNumberFormat="1" applyFont="1" applyFill="1" applyAlignment="1">
      <alignment horizontal="center"/>
    </xf>
    <xf numFmtId="0" fontId="111" fillId="0" borderId="0" xfId="0" applyFont="1" applyAlignment="1"/>
    <xf numFmtId="0" fontId="0" fillId="0" borderId="0" xfId="0" applyAlignment="1">
      <alignment horizontal="center"/>
    </xf>
    <xf numFmtId="0" fontId="66" fillId="0" borderId="1" xfId="2" applyFont="1" applyFill="1" applyBorder="1" applyAlignment="1" applyProtection="1">
      <alignment wrapText="1"/>
    </xf>
    <xf numFmtId="0" fontId="5" fillId="8" borderId="1" xfId="7" applyFont="1" applyFill="1" applyBorder="1" applyAlignment="1">
      <alignment vertical="center" wrapText="1"/>
    </xf>
    <xf numFmtId="4" fontId="33" fillId="8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/>
    </xf>
    <xf numFmtId="0" fontId="108" fillId="0" borderId="1" xfId="0" applyFont="1" applyBorder="1"/>
    <xf numFmtId="0" fontId="108" fillId="0" borderId="1" xfId="0" applyFont="1" applyBorder="1" applyAlignment="1">
      <alignment horizontal="left"/>
    </xf>
    <xf numFmtId="0" fontId="108" fillId="0" borderId="1" xfId="0" applyFont="1" applyBorder="1" applyAlignment="1">
      <alignment horizontal="right"/>
    </xf>
    <xf numFmtId="0" fontId="111" fillId="0" borderId="1" xfId="0" applyFont="1" applyBorder="1" applyAlignment="1">
      <alignment horizontal="right"/>
    </xf>
    <xf numFmtId="0" fontId="11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8" fillId="0" borderId="1" xfId="0" applyFont="1" applyBorder="1" applyAlignment="1">
      <alignment horizontal="center"/>
    </xf>
    <xf numFmtId="0" fontId="112" fillId="0" borderId="1" xfId="0" applyFont="1" applyBorder="1" applyAlignment="1">
      <alignment horizontal="right"/>
    </xf>
    <xf numFmtId="3" fontId="33" fillId="7" borderId="1" xfId="0" applyNumberFormat="1" applyFont="1" applyFill="1" applyBorder="1" applyAlignment="1" applyProtection="1">
      <alignment horizontal="center"/>
      <protection locked="0"/>
    </xf>
    <xf numFmtId="3" fontId="33" fillId="2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/>
    </xf>
    <xf numFmtId="4" fontId="0" fillId="11" borderId="0" xfId="0" applyNumberFormat="1" applyFill="1"/>
    <xf numFmtId="0" fontId="80" fillId="8" borderId="0" xfId="0" applyFont="1" applyFill="1"/>
    <xf numFmtId="0" fontId="17" fillId="8" borderId="1" xfId="7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horizontal="center"/>
    </xf>
    <xf numFmtId="3" fontId="33" fillId="8" borderId="1" xfId="0" applyNumberFormat="1" applyFont="1" applyFill="1" applyBorder="1" applyAlignment="1" applyProtection="1">
      <alignment horizontal="center"/>
      <protection locked="0"/>
    </xf>
    <xf numFmtId="0" fontId="0" fillId="8" borderId="0" xfId="0" applyFill="1"/>
    <xf numFmtId="1" fontId="0" fillId="8" borderId="0" xfId="0" applyNumberFormat="1" applyFill="1"/>
    <xf numFmtId="4" fontId="5" fillId="8" borderId="1" xfId="0" applyNumberFormat="1" applyFont="1" applyFill="1" applyBorder="1" applyAlignment="1">
      <alignment horizontal="center"/>
    </xf>
    <xf numFmtId="0" fontId="17" fillId="8" borderId="1" xfId="7" applyFont="1" applyFill="1" applyBorder="1" applyAlignment="1">
      <alignment vertical="center" wrapText="1"/>
    </xf>
    <xf numFmtId="0" fontId="5" fillId="8" borderId="1" xfId="7" applyFont="1" applyFill="1" applyBorder="1" applyAlignment="1">
      <alignment horizontal="right" vertical="center" wrapText="1"/>
    </xf>
    <xf numFmtId="0" fontId="80" fillId="7" borderId="0" xfId="0" applyFont="1" applyFill="1"/>
    <xf numFmtId="0" fontId="5" fillId="7" borderId="1" xfId="7" applyFont="1" applyFill="1" applyBorder="1" applyAlignment="1">
      <alignment horizontal="right" vertical="center" wrapText="1"/>
    </xf>
    <xf numFmtId="4" fontId="33" fillId="7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Fill="1"/>
    <xf numFmtId="4" fontId="4" fillId="0" borderId="1" xfId="6" applyNumberFormat="1" applyFont="1" applyFill="1" applyBorder="1" applyAlignment="1">
      <alignment horizontal="left" vertical="center" wrapText="1"/>
    </xf>
    <xf numFmtId="4" fontId="61" fillId="0" borderId="1" xfId="0" applyNumberFormat="1" applyFont="1" applyFill="1" applyBorder="1" applyAlignment="1" applyProtection="1">
      <alignment horizontal="center"/>
      <protection locked="0"/>
    </xf>
    <xf numFmtId="4" fontId="46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0" xfId="6" applyNumberFormat="1" applyFont="1"/>
    <xf numFmtId="0" fontId="3" fillId="0" borderId="1" xfId="6" applyFont="1" applyBorder="1"/>
    <xf numFmtId="0" fontId="3" fillId="0" borderId="1" xfId="6" applyBorder="1"/>
    <xf numFmtId="2" fontId="3" fillId="0" borderId="0" xfId="6" applyNumberFormat="1"/>
    <xf numFmtId="3" fontId="3" fillId="0" borderId="0" xfId="6" applyNumberFormat="1"/>
    <xf numFmtId="0" fontId="69" fillId="0" borderId="1" xfId="6" applyFont="1" applyBorder="1" applyAlignment="1">
      <alignment horizontal="left" vertical="center" wrapText="1"/>
    </xf>
    <xf numFmtId="0" fontId="69" fillId="0" borderId="1" xfId="6" applyFont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0" fontId="109" fillId="0" borderId="0" xfId="0" applyFont="1" applyAlignment="1">
      <alignment wrapText="1"/>
    </xf>
    <xf numFmtId="3" fontId="61" fillId="8" borderId="1" xfId="0" applyNumberFormat="1" applyFont="1" applyFill="1" applyBorder="1" applyAlignment="1" applyProtection="1">
      <alignment horizontal="center"/>
      <protection locked="0"/>
    </xf>
    <xf numFmtId="3" fontId="46" fillId="8" borderId="1" xfId="0" applyNumberFormat="1" applyFont="1" applyFill="1" applyBorder="1" applyAlignment="1" applyProtection="1">
      <alignment horizontal="center"/>
      <protection locked="0"/>
    </xf>
    <xf numFmtId="3" fontId="61" fillId="0" borderId="1" xfId="0" applyNumberFormat="1" applyFont="1" applyFill="1" applyBorder="1" applyAlignment="1" applyProtection="1">
      <alignment horizontal="center"/>
      <protection locked="0"/>
    </xf>
    <xf numFmtId="165" fontId="6" fillId="0" borderId="0" xfId="6" applyNumberFormat="1" applyFont="1" applyAlignment="1">
      <alignment vertical="center"/>
    </xf>
    <xf numFmtId="4" fontId="6" fillId="0" borderId="0" xfId="6" applyNumberFormat="1" applyFont="1" applyAlignment="1">
      <alignment vertical="center"/>
    </xf>
    <xf numFmtId="3" fontId="6" fillId="0" borderId="0" xfId="6" applyNumberFormat="1" applyFont="1" applyFill="1" applyAlignment="1">
      <alignment vertical="center"/>
    </xf>
    <xf numFmtId="3" fontId="5" fillId="0" borderId="0" xfId="6" applyNumberFormat="1" applyFont="1" applyFill="1" applyAlignment="1">
      <alignment vertical="center"/>
    </xf>
    <xf numFmtId="0" fontId="44" fillId="0" borderId="0" xfId="6" applyFont="1" applyAlignment="1">
      <alignment vertical="center"/>
    </xf>
    <xf numFmtId="0" fontId="44" fillId="0" borderId="1" xfId="6" applyFont="1" applyBorder="1" applyAlignment="1">
      <alignment vertical="center"/>
    </xf>
    <xf numFmtId="0" fontId="43" fillId="0" borderId="1" xfId="6" applyFont="1" applyBorder="1" applyAlignment="1">
      <alignment vertical="center"/>
    </xf>
    <xf numFmtId="3" fontId="43" fillId="0" borderId="1" xfId="6" applyNumberFormat="1" applyFont="1" applyBorder="1" applyAlignment="1">
      <alignment vertical="center"/>
    </xf>
    <xf numFmtId="3" fontId="133" fillId="0" borderId="0" xfId="6" applyNumberFormat="1" applyFont="1" applyAlignment="1">
      <alignment vertical="center"/>
    </xf>
    <xf numFmtId="0" fontId="68" fillId="0" borderId="1" xfId="2" applyFont="1" applyBorder="1" applyAlignment="1" applyProtection="1">
      <alignment horizontal="left" wrapText="1"/>
    </xf>
    <xf numFmtId="0" fontId="69" fillId="0" borderId="0" xfId="6" applyFont="1" applyBorder="1" applyAlignment="1">
      <alignment horizontal="center" vertical="center" wrapText="1"/>
    </xf>
    <xf numFmtId="4" fontId="69" fillId="0" borderId="0" xfId="6" applyNumberFormat="1" applyFont="1" applyBorder="1" applyAlignment="1">
      <alignment horizontal="center" vertical="center" wrapText="1"/>
    </xf>
    <xf numFmtId="4" fontId="68" fillId="0" borderId="0" xfId="6" applyNumberFormat="1" applyFont="1" applyBorder="1" applyAlignment="1">
      <alignment horizontal="center" vertical="center"/>
    </xf>
    <xf numFmtId="3" fontId="69" fillId="0" borderId="0" xfId="6" applyNumberFormat="1" applyFont="1" applyBorder="1" applyAlignment="1">
      <alignment horizontal="center" vertical="center"/>
    </xf>
    <xf numFmtId="3" fontId="68" fillId="0" borderId="0" xfId="6" applyNumberFormat="1" applyFont="1" applyBorder="1" applyAlignment="1">
      <alignment horizontal="center" vertical="center"/>
    </xf>
    <xf numFmtId="3" fontId="69" fillId="0" borderId="0" xfId="6" applyNumberFormat="1" applyFont="1" applyBorder="1" applyAlignment="1">
      <alignment horizontal="center" vertical="center" wrapText="1"/>
    </xf>
    <xf numFmtId="0" fontId="3" fillId="0" borderId="0" xfId="6" applyBorder="1"/>
    <xf numFmtId="4" fontId="4" fillId="0" borderId="1" xfId="6" applyNumberFormat="1" applyFont="1" applyBorder="1" applyAlignment="1">
      <alignment horizontal="right" vertical="center" wrapText="1" indent="2"/>
    </xf>
    <xf numFmtId="0" fontId="134" fillId="0" borderId="1" xfId="0" applyFont="1" applyBorder="1"/>
    <xf numFmtId="0" fontId="134" fillId="0" borderId="0" xfId="0" applyFont="1" applyAlignment="1">
      <alignment wrapText="1"/>
    </xf>
    <xf numFmtId="3" fontId="135" fillId="0" borderId="1" xfId="6" applyNumberFormat="1" applyFont="1" applyBorder="1" applyAlignment="1">
      <alignment horizontal="center" vertical="center"/>
    </xf>
    <xf numFmtId="0" fontId="61" fillId="0" borderId="1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 wrapText="1"/>
    </xf>
    <xf numFmtId="0" fontId="136" fillId="0" borderId="1" xfId="0" applyFont="1" applyBorder="1" applyAlignment="1">
      <alignment horizontal="left" wrapText="1"/>
    </xf>
    <xf numFmtId="0" fontId="137" fillId="0" borderId="1" xfId="2" applyFont="1" applyBorder="1" applyAlignment="1" applyProtection="1">
      <alignment horizontal="left" wrapText="1"/>
    </xf>
    <xf numFmtId="0" fontId="136" fillId="0" borderId="1" xfId="2" applyFont="1" applyBorder="1" applyAlignment="1" applyProtection="1"/>
    <xf numFmtId="0" fontId="137" fillId="0" borderId="1" xfId="2" applyFont="1" applyBorder="1" applyAlignment="1" applyProtection="1">
      <alignment horizontal="left"/>
    </xf>
    <xf numFmtId="0" fontId="137" fillId="0" borderId="1" xfId="2" applyFont="1" applyBorder="1" applyAlignment="1" applyProtection="1"/>
    <xf numFmtId="0" fontId="136" fillId="0" borderId="1" xfId="0" applyFont="1" applyFill="1" applyBorder="1" applyAlignment="1">
      <alignment horizontal="left"/>
    </xf>
    <xf numFmtId="0" fontId="135" fillId="0" borderId="1" xfId="2" applyFont="1" applyBorder="1" applyAlignment="1" applyProtection="1">
      <alignment horizontal="right" wrapText="1"/>
    </xf>
    <xf numFmtId="0" fontId="31" fillId="0" borderId="0" xfId="12" applyFont="1" applyFill="1"/>
    <xf numFmtId="0" fontId="12" fillId="0" borderId="0" xfId="12" applyFont="1" applyFill="1"/>
    <xf numFmtId="0" fontId="37" fillId="0" borderId="0" xfId="0" applyFont="1" applyFill="1" applyBorder="1"/>
    <xf numFmtId="3" fontId="69" fillId="0" borderId="0" xfId="0" applyNumberFormat="1" applyFont="1" applyFill="1" applyBorder="1"/>
    <xf numFmtId="0" fontId="69" fillId="0" borderId="0" xfId="0" applyFont="1" applyFill="1" applyBorder="1"/>
    <xf numFmtId="3" fontId="68" fillId="0" borderId="0" xfId="0" applyNumberFormat="1" applyFont="1" applyFill="1" applyBorder="1"/>
    <xf numFmtId="0" fontId="68" fillId="0" borderId="0" xfId="0" applyFont="1" applyFill="1" applyBorder="1"/>
    <xf numFmtId="0" fontId="36" fillId="0" borderId="0" xfId="0" applyFont="1" applyFill="1" applyBorder="1"/>
    <xf numFmtId="4" fontId="37" fillId="0" borderId="0" xfId="0" applyNumberFormat="1" applyFont="1" applyFill="1" applyBorder="1"/>
    <xf numFmtId="4" fontId="66" fillId="0" borderId="1" xfId="0" applyNumberFormat="1" applyFont="1" applyFill="1" applyBorder="1" applyAlignment="1">
      <alignment horizontal="center" wrapText="1"/>
    </xf>
    <xf numFmtId="0" fontId="138" fillId="0" borderId="0" xfId="0" applyFont="1"/>
    <xf numFmtId="0" fontId="67" fillId="0" borderId="0" xfId="0" applyFont="1"/>
    <xf numFmtId="0" fontId="114" fillId="0" borderId="0" xfId="0" applyFont="1"/>
    <xf numFmtId="4" fontId="39" fillId="0" borderId="5" xfId="0" applyNumberFormat="1" applyFont="1" applyFill="1" applyBorder="1" applyAlignment="1">
      <alignment horizontal="center"/>
    </xf>
    <xf numFmtId="4" fontId="37" fillId="0" borderId="5" xfId="0" applyNumberFormat="1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0" fillId="0" borderId="1" xfId="0" applyBorder="1"/>
    <xf numFmtId="4" fontId="112" fillId="0" borderId="0" xfId="0" applyNumberFormat="1" applyFont="1" applyAlignment="1">
      <alignment horizontal="center"/>
    </xf>
    <xf numFmtId="0" fontId="66" fillId="0" borderId="1" xfId="0" applyFont="1" applyFill="1" applyBorder="1" applyAlignment="1">
      <alignment horizontal="left"/>
    </xf>
    <xf numFmtId="0" fontId="66" fillId="0" borderId="1" xfId="2" applyFont="1" applyBorder="1" applyAlignment="1" applyProtection="1">
      <alignment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10" fillId="0" borderId="0" xfId="0" applyFont="1" applyFill="1"/>
    <xf numFmtId="0" fontId="138" fillId="0" borderId="0" xfId="0" applyFont="1" applyFill="1"/>
    <xf numFmtId="0" fontId="77" fillId="0" borderId="1" xfId="0" applyFont="1" applyFill="1" applyBorder="1" applyAlignment="1">
      <alignment horizontal="left"/>
    </xf>
    <xf numFmtId="4" fontId="77" fillId="0" borderId="1" xfId="0" applyNumberFormat="1" applyFont="1" applyFill="1" applyBorder="1" applyAlignment="1">
      <alignment horizontal="center"/>
    </xf>
    <xf numFmtId="0" fontId="77" fillId="0" borderId="1" xfId="0" applyFont="1" applyFill="1" applyBorder="1" applyAlignment="1" applyProtection="1">
      <alignment horizontal="left"/>
    </xf>
    <xf numFmtId="2" fontId="77" fillId="0" borderId="1" xfId="0" applyNumberFormat="1" applyFont="1" applyFill="1" applyBorder="1" applyAlignment="1">
      <alignment horizontal="center"/>
    </xf>
    <xf numFmtId="0" fontId="77" fillId="0" borderId="1" xfId="2" applyFont="1" applyFill="1" applyBorder="1" applyAlignment="1" applyProtection="1"/>
    <xf numFmtId="0" fontId="77" fillId="0" borderId="1" xfId="0" applyFont="1" applyFill="1" applyBorder="1" applyAlignment="1" applyProtection="1">
      <alignment horizontal="center"/>
    </xf>
    <xf numFmtId="0" fontId="77" fillId="0" borderId="1" xfId="2" applyFont="1" applyFill="1" applyBorder="1" applyAlignment="1" applyProtection="1">
      <alignment horizontal="left"/>
    </xf>
    <xf numFmtId="2" fontId="77" fillId="0" borderId="1" xfId="0" applyNumberFormat="1" applyFont="1" applyFill="1" applyBorder="1" applyAlignment="1">
      <alignment horizontal="center" vertical="top"/>
    </xf>
    <xf numFmtId="0" fontId="77" fillId="0" borderId="1" xfId="2" applyFont="1" applyFill="1" applyBorder="1" applyAlignment="1" applyProtection="1">
      <alignment wrapText="1"/>
    </xf>
    <xf numFmtId="0" fontId="77" fillId="0" borderId="1" xfId="2" applyFont="1" applyFill="1" applyBorder="1" applyAlignment="1" applyProtection="1">
      <alignment horizontal="left" wrapText="1"/>
    </xf>
    <xf numFmtId="0" fontId="77" fillId="0" borderId="1" xfId="0" applyFont="1" applyFill="1" applyBorder="1" applyAlignment="1" applyProtection="1">
      <alignment horizontal="left" wrapText="1"/>
    </xf>
    <xf numFmtId="0" fontId="77" fillId="0" borderId="1" xfId="0" applyFont="1" applyFill="1" applyBorder="1"/>
    <xf numFmtId="2" fontId="77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3" fillId="0" borderId="1" xfId="6" applyNumberFormat="1" applyBorder="1"/>
    <xf numFmtId="4" fontId="12" fillId="0" borderId="1" xfId="6" applyNumberFormat="1" applyFont="1" applyBorder="1" applyAlignment="1">
      <alignment horizontal="left" vertical="center" wrapText="1"/>
    </xf>
    <xf numFmtId="3" fontId="12" fillId="0" borderId="1" xfId="6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118" fillId="0" borderId="1" xfId="0" applyFont="1" applyBorder="1" applyAlignment="1">
      <alignment horizontal="center"/>
    </xf>
    <xf numFmtId="0" fontId="85" fillId="0" borderId="1" xfId="12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left" vertical="top" wrapText="1"/>
    </xf>
    <xf numFmtId="0" fontId="80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0" fontId="80" fillId="0" borderId="1" xfId="0" applyFont="1" applyBorder="1"/>
    <xf numFmtId="3" fontId="80" fillId="0" borderId="1" xfId="0" applyNumberFormat="1" applyFont="1" applyBorder="1"/>
    <xf numFmtId="0" fontId="80" fillId="0" borderId="1" xfId="0" applyFont="1" applyBorder="1" applyAlignment="1">
      <alignment vertical="center" wrapText="1"/>
    </xf>
    <xf numFmtId="1" fontId="0" fillId="0" borderId="1" xfId="0" applyNumberFormat="1" applyBorder="1"/>
    <xf numFmtId="0" fontId="80" fillId="0" borderId="0" xfId="0" applyFont="1" applyFill="1" applyBorder="1" applyAlignment="1">
      <alignment vertical="center" wrapText="1"/>
    </xf>
    <xf numFmtId="0" fontId="80" fillId="0" borderId="0" xfId="0" applyFont="1" applyBorder="1"/>
    <xf numFmtId="3" fontId="4" fillId="7" borderId="1" xfId="6" applyNumberFormat="1" applyFont="1" applyFill="1" applyBorder="1" applyAlignment="1">
      <alignment horizontal="center" vertical="center" wrapText="1"/>
    </xf>
    <xf numFmtId="0" fontId="139" fillId="0" borderId="0" xfId="12" applyFont="1" applyFill="1" applyAlignment="1">
      <alignment horizontal="center"/>
    </xf>
    <xf numFmtId="0" fontId="61" fillId="0" borderId="0" xfId="12" applyFont="1" applyFill="1" applyAlignment="1">
      <alignment horizontal="center"/>
    </xf>
    <xf numFmtId="0" fontId="31" fillId="2" borderId="0" xfId="12" applyFont="1" applyFill="1"/>
    <xf numFmtId="0" fontId="61" fillId="0" borderId="1" xfId="12" applyFont="1" applyFill="1" applyBorder="1" applyAlignment="1">
      <alignment horizontal="center" vertical="center" wrapText="1"/>
    </xf>
    <xf numFmtId="49" fontId="61" fillId="0" borderId="1" xfId="12" applyNumberFormat="1" applyFont="1" applyFill="1" applyBorder="1" applyAlignment="1">
      <alignment horizontal="center" vertical="center" textRotation="90" wrapText="1" shrinkToFit="1"/>
    </xf>
    <xf numFmtId="49" fontId="41" fillId="0" borderId="1" xfId="12" applyNumberFormat="1" applyFont="1" applyFill="1" applyBorder="1" applyAlignment="1">
      <alignment horizontal="center" vertical="center" textRotation="90" wrapText="1" shrinkToFit="1"/>
    </xf>
    <xf numFmtId="0" fontId="41" fillId="0" borderId="1" xfId="12" applyFont="1" applyFill="1" applyBorder="1" applyAlignment="1">
      <alignment horizontal="center" vertical="center" textRotation="90" wrapText="1"/>
    </xf>
    <xf numFmtId="0" fontId="61" fillId="0" borderId="1" xfId="12" applyFont="1" applyFill="1" applyBorder="1" applyAlignment="1">
      <alignment horizontal="center" vertical="center" textRotation="90"/>
    </xf>
    <xf numFmtId="0" fontId="41" fillId="0" borderId="1" xfId="12" applyFont="1" applyFill="1" applyBorder="1" applyAlignment="1">
      <alignment horizontal="center" vertical="center" textRotation="90"/>
    </xf>
    <xf numFmtId="0" fontId="61" fillId="0" borderId="1" xfId="12" applyFont="1" applyFill="1" applyBorder="1" applyAlignment="1">
      <alignment horizontal="center" vertical="center" textRotation="90" wrapText="1"/>
    </xf>
    <xf numFmtId="49" fontId="41" fillId="0" borderId="1" xfId="12" applyNumberFormat="1" applyFont="1" applyFill="1" applyBorder="1" applyAlignment="1">
      <alignment horizontal="center" vertical="center" wrapText="1" shrinkToFit="1"/>
    </xf>
    <xf numFmtId="0" fontId="41" fillId="0" borderId="1" xfId="12" applyFont="1" applyFill="1" applyBorder="1" applyAlignment="1">
      <alignment horizontal="center" vertical="center" wrapText="1"/>
    </xf>
    <xf numFmtId="49" fontId="61" fillId="0" borderId="1" xfId="12" applyNumberFormat="1" applyFont="1" applyFill="1" applyBorder="1" applyAlignment="1">
      <alignment horizontal="center" vertical="center" wrapText="1" shrinkToFit="1"/>
    </xf>
    <xf numFmtId="0" fontId="41" fillId="0" borderId="1" xfId="12" applyFont="1" applyFill="1" applyBorder="1" applyAlignment="1">
      <alignment horizontal="right"/>
    </xf>
    <xf numFmtId="0" fontId="41" fillId="0" borderId="1" xfId="12" applyFont="1" applyFill="1" applyBorder="1" applyAlignment="1"/>
    <xf numFmtId="0" fontId="41" fillId="0" borderId="0" xfId="12" applyFont="1" applyFill="1" applyAlignment="1"/>
    <xf numFmtId="0" fontId="61" fillId="0" borderId="1" xfId="12" applyFont="1" applyFill="1" applyBorder="1" applyAlignment="1">
      <alignment horizontal="center" vertical="center"/>
    </xf>
    <xf numFmtId="0" fontId="46" fillId="0" borderId="1" xfId="12" applyFont="1" applyFill="1" applyBorder="1" applyAlignment="1">
      <alignment horizontal="center" vertical="center"/>
    </xf>
    <xf numFmtId="0" fontId="31" fillId="0" borderId="1" xfId="12" applyFont="1" applyFill="1" applyBorder="1"/>
    <xf numFmtId="0" fontId="12" fillId="0" borderId="1" xfId="12" applyFont="1" applyFill="1" applyBorder="1"/>
    <xf numFmtId="171" fontId="61" fillId="0" borderId="1" xfId="12" applyNumberFormat="1" applyFont="1" applyFill="1" applyBorder="1" applyAlignment="1">
      <alignment horizontal="center" vertical="center" wrapText="1"/>
    </xf>
    <xf numFmtId="2" fontId="61" fillId="0" borderId="1" xfId="12" applyNumberFormat="1" applyFont="1" applyFill="1" applyBorder="1" applyAlignment="1">
      <alignment horizontal="center" vertical="center" wrapText="1"/>
    </xf>
    <xf numFmtId="9" fontId="61" fillId="0" borderId="1" xfId="12" applyNumberFormat="1" applyFont="1" applyFill="1" applyBorder="1" applyAlignment="1">
      <alignment horizontal="center" vertical="center" wrapText="1"/>
    </xf>
    <xf numFmtId="2" fontId="88" fillId="0" borderId="1" xfId="12" applyNumberFormat="1" applyFont="1" applyFill="1" applyBorder="1" applyAlignment="1">
      <alignment horizontal="center" vertical="center" wrapText="1"/>
    </xf>
    <xf numFmtId="0" fontId="44" fillId="0" borderId="1" xfId="12" applyFont="1" applyFill="1" applyBorder="1" applyAlignment="1">
      <alignment vertical="center"/>
    </xf>
    <xf numFmtId="2" fontId="44" fillId="0" borderId="1" xfId="12" applyNumberFormat="1" applyFont="1" applyFill="1" applyBorder="1" applyAlignment="1">
      <alignment vertical="center"/>
    </xf>
    <xf numFmtId="0" fontId="61" fillId="0" borderId="1" xfId="12" applyNumberFormat="1" applyFont="1" applyFill="1" applyBorder="1" applyAlignment="1">
      <alignment horizontal="center" vertical="center" wrapText="1"/>
    </xf>
    <xf numFmtId="2" fontId="46" fillId="0" borderId="1" xfId="12" applyNumberFormat="1" applyFont="1" applyFill="1" applyBorder="1" applyAlignment="1">
      <alignment horizontal="center" vertical="center"/>
    </xf>
    <xf numFmtId="2" fontId="46" fillId="0" borderId="1" xfId="12" applyNumberFormat="1" applyFont="1" applyFill="1" applyBorder="1" applyAlignment="1">
      <alignment horizontal="center" vertical="center" wrapText="1"/>
    </xf>
    <xf numFmtId="2" fontId="89" fillId="7" borderId="1" xfId="12" applyNumberFormat="1" applyFont="1" applyFill="1" applyBorder="1" applyAlignment="1">
      <alignment horizontal="center" vertical="center" wrapText="1"/>
    </xf>
    <xf numFmtId="0" fontId="61" fillId="0" borderId="1" xfId="12" applyNumberFormat="1" applyFont="1" applyFill="1" applyBorder="1" applyAlignment="1">
      <alignment horizontal="center" vertical="center"/>
    </xf>
    <xf numFmtId="0" fontId="46" fillId="0" borderId="1" xfId="12" applyNumberFormat="1" applyFont="1" applyFill="1" applyBorder="1" applyAlignment="1">
      <alignment horizontal="center" vertical="center"/>
    </xf>
    <xf numFmtId="170" fontId="61" fillId="0" borderId="1" xfId="12" applyNumberFormat="1" applyFont="1" applyFill="1" applyBorder="1" applyAlignment="1">
      <alignment horizontal="center" vertical="center"/>
    </xf>
    <xf numFmtId="170" fontId="46" fillId="0" borderId="1" xfId="12" applyNumberFormat="1" applyFont="1" applyFill="1" applyBorder="1" applyAlignment="1">
      <alignment horizontal="center" vertical="center"/>
    </xf>
    <xf numFmtId="9" fontId="46" fillId="0" borderId="1" xfId="12" applyNumberFormat="1" applyFont="1" applyFill="1" applyBorder="1" applyAlignment="1">
      <alignment horizontal="center" vertical="center" wrapText="1"/>
    </xf>
    <xf numFmtId="2" fontId="88" fillId="0" borderId="1" xfId="12" applyNumberFormat="1" applyFont="1" applyFill="1" applyBorder="1" applyAlignment="1">
      <alignment horizontal="right" vertical="center"/>
    </xf>
    <xf numFmtId="1" fontId="88" fillId="0" borderId="1" xfId="12" applyNumberFormat="1" applyFont="1" applyFill="1" applyBorder="1" applyAlignment="1">
      <alignment horizontal="right" vertical="center"/>
    </xf>
    <xf numFmtId="2" fontId="61" fillId="0" borderId="1" xfId="12" applyNumberFormat="1" applyFont="1" applyFill="1" applyBorder="1" applyAlignment="1">
      <alignment horizontal="center" vertical="center"/>
    </xf>
    <xf numFmtId="1" fontId="46" fillId="0" borderId="1" xfId="12" applyNumberFormat="1" applyFont="1" applyFill="1" applyBorder="1" applyAlignment="1">
      <alignment horizontal="center" vertical="center"/>
    </xf>
    <xf numFmtId="1" fontId="61" fillId="0" borderId="1" xfId="12" applyNumberFormat="1" applyFont="1" applyFill="1" applyBorder="1" applyAlignment="1">
      <alignment horizontal="center" vertical="center"/>
    </xf>
    <xf numFmtId="2" fontId="85" fillId="2" borderId="1" xfId="12" applyNumberFormat="1" applyFont="1" applyFill="1" applyBorder="1" applyAlignment="1">
      <alignment horizontal="center" vertical="center" wrapText="1"/>
    </xf>
    <xf numFmtId="3" fontId="46" fillId="0" borderId="1" xfId="12" applyNumberFormat="1" applyFont="1" applyFill="1" applyBorder="1" applyAlignment="1">
      <alignment horizontal="center" vertical="center"/>
    </xf>
    <xf numFmtId="0" fontId="46" fillId="0" borderId="1" xfId="12" applyFont="1" applyFill="1" applyBorder="1" applyAlignment="1">
      <alignment vertical="center"/>
    </xf>
    <xf numFmtId="0" fontId="61" fillId="0" borderId="1" xfId="12" applyFont="1" applyFill="1" applyBorder="1" applyAlignment="1">
      <alignment vertical="center"/>
    </xf>
    <xf numFmtId="3" fontId="58" fillId="0" borderId="0" xfId="12" applyNumberFormat="1" applyFont="1" applyFill="1" applyAlignment="1">
      <alignment vertical="center"/>
    </xf>
    <xf numFmtId="4" fontId="58" fillId="0" borderId="1" xfId="12" applyNumberFormat="1" applyFont="1" applyFill="1" applyBorder="1" applyAlignment="1">
      <alignment vertical="center"/>
    </xf>
    <xf numFmtId="49" fontId="58" fillId="0" borderId="1" xfId="13" applyNumberFormat="1" applyFont="1" applyFill="1" applyBorder="1" applyAlignment="1">
      <alignment horizontal="left" vertical="center" wrapText="1"/>
    </xf>
    <xf numFmtId="0" fontId="58" fillId="0" borderId="1" xfId="12" applyFont="1" applyFill="1" applyBorder="1" applyAlignment="1">
      <alignment vertical="center"/>
    </xf>
    <xf numFmtId="2" fontId="58" fillId="0" borderId="1" xfId="12" applyNumberFormat="1" applyFont="1" applyFill="1" applyBorder="1" applyAlignment="1">
      <alignment horizontal="center" vertical="center"/>
    </xf>
    <xf numFmtId="1" fontId="58" fillId="0" borderId="1" xfId="12" applyNumberFormat="1" applyFont="1" applyFill="1" applyBorder="1" applyAlignment="1">
      <alignment horizontal="center" vertical="center"/>
    </xf>
    <xf numFmtId="0" fontId="58" fillId="0" borderId="0" xfId="12" applyFont="1" applyFill="1" applyAlignment="1">
      <alignment vertical="center"/>
    </xf>
    <xf numFmtId="170" fontId="58" fillId="0" borderId="1" xfId="12" applyNumberFormat="1" applyFont="1" applyFill="1" applyBorder="1" applyAlignment="1">
      <alignment horizontal="center" vertical="center"/>
    </xf>
    <xf numFmtId="0" fontId="61" fillId="0" borderId="0" xfId="12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" fontId="58" fillId="0" borderId="0" xfId="12" applyNumberFormat="1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0" fontId="61" fillId="0" borderId="0" xfId="12" applyFont="1" applyFill="1" applyBorder="1" applyAlignment="1">
      <alignment vertical="center"/>
    </xf>
    <xf numFmtId="9" fontId="139" fillId="0" borderId="0" xfId="12" applyNumberFormat="1" applyFont="1" applyFill="1" applyBorder="1" applyAlignment="1">
      <alignment horizontal="center" vertical="center" wrapText="1"/>
    </xf>
    <xf numFmtId="0" fontId="139" fillId="0" borderId="0" xfId="12" applyFont="1" applyFill="1" applyBorder="1" applyAlignment="1">
      <alignment horizontal="center" vertical="center"/>
    </xf>
    <xf numFmtId="0" fontId="141" fillId="0" borderId="0" xfId="12" applyFont="1" applyFill="1" applyBorder="1" applyAlignment="1">
      <alignment horizontal="center" vertical="center"/>
    </xf>
    <xf numFmtId="0" fontId="142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2" fontId="139" fillId="0" borderId="0" xfId="12" applyNumberFormat="1" applyFont="1" applyFill="1" applyBorder="1" applyAlignment="1">
      <alignment horizontal="center" vertical="center" wrapText="1"/>
    </xf>
    <xf numFmtId="0" fontId="139" fillId="0" borderId="0" xfId="12" applyFont="1" applyFill="1" applyBorder="1" applyAlignment="1">
      <alignment vertical="center"/>
    </xf>
    <xf numFmtId="1" fontId="106" fillId="0" borderId="0" xfId="0" applyNumberFormat="1" applyFont="1" applyFill="1" applyBorder="1" applyAlignment="1">
      <alignment horizontal="center" vertical="center"/>
    </xf>
    <xf numFmtId="1" fontId="106" fillId="0" borderId="0" xfId="12" applyNumberFormat="1" applyFont="1" applyFill="1" applyBorder="1" applyAlignment="1">
      <alignment horizontal="center" vertical="center"/>
    </xf>
    <xf numFmtId="3" fontId="106" fillId="0" borderId="0" xfId="12" applyNumberFormat="1" applyFont="1" applyFill="1" applyBorder="1" applyAlignment="1">
      <alignment horizontal="center" vertical="center"/>
    </xf>
    <xf numFmtId="9" fontId="44" fillId="0" borderId="0" xfId="12" applyNumberFormat="1" applyFont="1" applyFill="1" applyAlignment="1">
      <alignment vertical="center"/>
    </xf>
    <xf numFmtId="0" fontId="61" fillId="0" borderId="0" xfId="12" applyFont="1" applyFill="1" applyBorder="1"/>
    <xf numFmtId="0" fontId="139" fillId="0" borderId="0" xfId="12" applyFont="1" applyFill="1" applyBorder="1" applyAlignment="1">
      <alignment horizontal="center"/>
    </xf>
    <xf numFmtId="4" fontId="141" fillId="0" borderId="0" xfId="12" applyNumberFormat="1" applyFont="1" applyFill="1" applyBorder="1" applyAlignment="1">
      <alignment horizontal="center"/>
    </xf>
    <xf numFmtId="0" fontId="141" fillId="0" borderId="0" xfId="12" applyFont="1" applyFill="1" applyBorder="1" applyAlignment="1">
      <alignment horizontal="center"/>
    </xf>
    <xf numFmtId="0" fontId="106" fillId="0" borderId="0" xfId="12" applyFont="1" applyFill="1" applyBorder="1" applyAlignment="1">
      <alignment horizontal="center"/>
    </xf>
    <xf numFmtId="2" fontId="85" fillId="0" borderId="0" xfId="12" applyNumberFormat="1" applyFont="1" applyFill="1" applyBorder="1"/>
    <xf numFmtId="0" fontId="141" fillId="0" borderId="0" xfId="12" applyFont="1" applyFill="1" applyAlignment="1">
      <alignment horizontal="center"/>
    </xf>
    <xf numFmtId="0" fontId="139" fillId="7" borderId="0" xfId="12" applyFont="1" applyFill="1" applyAlignment="1">
      <alignment horizontal="center"/>
    </xf>
    <xf numFmtId="0" fontId="139" fillId="2" borderId="0" xfId="12" applyFont="1" applyFill="1" applyAlignment="1">
      <alignment horizontal="center"/>
    </xf>
    <xf numFmtId="0" fontId="97" fillId="12" borderId="0" xfId="12" applyFont="1" applyFill="1" applyAlignment="1">
      <alignment horizontal="center"/>
    </xf>
    <xf numFmtId="0" fontId="85" fillId="12" borderId="0" xfId="12" applyFont="1" applyFill="1" applyAlignment="1">
      <alignment horizontal="center"/>
    </xf>
    <xf numFmtId="0" fontId="41" fillId="12" borderId="1" xfId="12" applyFont="1" applyFill="1" applyBorder="1" applyAlignment="1">
      <alignment horizontal="center" vertical="center" wrapText="1"/>
    </xf>
    <xf numFmtId="0" fontId="86" fillId="12" borderId="1" xfId="12" applyFont="1" applyFill="1" applyBorder="1" applyAlignment="1">
      <alignment horizontal="center" vertical="center"/>
    </xf>
    <xf numFmtId="2" fontId="85" fillId="12" borderId="1" xfId="12" applyNumberFormat="1" applyFont="1" applyFill="1" applyBorder="1" applyAlignment="1">
      <alignment horizontal="center" vertical="center" wrapText="1"/>
    </xf>
    <xf numFmtId="2" fontId="86" fillId="12" borderId="1" xfId="12" applyNumberFormat="1" applyFont="1" applyFill="1" applyBorder="1" applyAlignment="1">
      <alignment horizontal="center" vertical="center"/>
    </xf>
    <xf numFmtId="2" fontId="86" fillId="12" borderId="1" xfId="12" applyNumberFormat="1" applyFont="1" applyFill="1" applyBorder="1" applyAlignment="1">
      <alignment horizontal="center" vertical="center" wrapText="1"/>
    </xf>
    <xf numFmtId="0" fontId="86" fillId="12" borderId="1" xfId="12" applyNumberFormat="1" applyFont="1" applyFill="1" applyBorder="1" applyAlignment="1">
      <alignment horizontal="center" vertical="center"/>
    </xf>
    <xf numFmtId="170" fontId="86" fillId="12" borderId="1" xfId="12" applyNumberFormat="1" applyFont="1" applyFill="1" applyBorder="1" applyAlignment="1">
      <alignment horizontal="center" vertical="center"/>
    </xf>
    <xf numFmtId="1" fontId="86" fillId="12" borderId="1" xfId="12" applyNumberFormat="1" applyFont="1" applyFill="1" applyBorder="1" applyAlignment="1">
      <alignment horizontal="center" vertical="center"/>
    </xf>
    <xf numFmtId="3" fontId="86" fillId="12" borderId="1" xfId="12" applyNumberFormat="1" applyFont="1" applyFill="1" applyBorder="1" applyAlignment="1">
      <alignment horizontal="center" vertical="center"/>
    </xf>
    <xf numFmtId="0" fontId="86" fillId="12" borderId="1" xfId="12" applyFont="1" applyFill="1" applyBorder="1" applyAlignment="1">
      <alignment vertical="center"/>
    </xf>
    <xf numFmtId="3" fontId="41" fillId="12" borderId="1" xfId="12" applyNumberFormat="1" applyFont="1" applyFill="1" applyBorder="1" applyAlignment="1">
      <alignment horizontal="center" vertical="center"/>
    </xf>
    <xf numFmtId="1" fontId="41" fillId="12" borderId="1" xfId="12" applyNumberFormat="1" applyFont="1" applyFill="1" applyBorder="1" applyAlignment="1">
      <alignment horizontal="center" vertical="center"/>
    </xf>
    <xf numFmtId="1" fontId="58" fillId="12" borderId="1" xfId="12" applyNumberFormat="1" applyFont="1" applyFill="1" applyBorder="1" applyAlignment="1">
      <alignment horizontal="center" vertical="center"/>
    </xf>
    <xf numFmtId="0" fontId="58" fillId="12" borderId="0" xfId="12" applyFont="1" applyFill="1" applyBorder="1" applyAlignment="1">
      <alignment horizontal="center" vertical="center"/>
    </xf>
    <xf numFmtId="0" fontId="97" fillId="12" borderId="0" xfId="12" applyFont="1" applyFill="1" applyBorder="1" applyAlignment="1">
      <alignment horizontal="center" vertical="center"/>
    </xf>
    <xf numFmtId="0" fontId="97" fillId="12" borderId="0" xfId="12" applyFont="1" applyFill="1" applyBorder="1" applyAlignment="1">
      <alignment horizontal="center"/>
    </xf>
    <xf numFmtId="1" fontId="85" fillId="12" borderId="0" xfId="12" applyNumberFormat="1" applyFont="1" applyFill="1" applyBorder="1"/>
    <xf numFmtId="3" fontId="97" fillId="12" borderId="0" xfId="12" applyNumberFormat="1" applyFont="1" applyFill="1" applyBorder="1" applyAlignment="1">
      <alignment horizontal="center"/>
    </xf>
    <xf numFmtId="0" fontId="143" fillId="0" borderId="0" xfId="0" applyFont="1"/>
    <xf numFmtId="0" fontId="33" fillId="0" borderId="0" xfId="0" applyFont="1" applyAlignment="1">
      <alignment horizontal="center"/>
    </xf>
    <xf numFmtId="0" fontId="74" fillId="0" borderId="0" xfId="10" applyFont="1" applyFill="1" applyAlignment="1">
      <alignment horizontal="left" wrapText="1"/>
    </xf>
    <xf numFmtId="0" fontId="74" fillId="0" borderId="0" xfId="10" applyFont="1" applyFill="1" applyAlignment="1">
      <alignment horizontal="center" wrapText="1"/>
    </xf>
    <xf numFmtId="49" fontId="6" fillId="0" borderId="1" xfId="10" applyNumberFormat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" fontId="5" fillId="2" borderId="1" xfId="6" applyNumberFormat="1" applyFont="1" applyFill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2" fontId="113" fillId="0" borderId="0" xfId="0" applyNumberFormat="1" applyFont="1" applyAlignment="1">
      <alignment horizontal="center"/>
    </xf>
    <xf numFmtId="4" fontId="33" fillId="0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left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6" fillId="0" borderId="1" xfId="1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" fontId="109" fillId="0" borderId="1" xfId="0" applyNumberFormat="1" applyFont="1" applyBorder="1" applyAlignment="1">
      <alignment horizontal="center"/>
    </xf>
    <xf numFmtId="0" fontId="109" fillId="0" borderId="1" xfId="0" applyFont="1" applyBorder="1"/>
    <xf numFmtId="4" fontId="77" fillId="0" borderId="0" xfId="0" applyNumberFormat="1" applyFont="1" applyFill="1" applyAlignment="1">
      <alignment horizontal="center"/>
    </xf>
    <xf numFmtId="0" fontId="123" fillId="0" borderId="0" xfId="0" applyFont="1"/>
    <xf numFmtId="1" fontId="12" fillId="0" borderId="0" xfId="12" applyNumberFormat="1" applyFont="1" applyFill="1"/>
    <xf numFmtId="1" fontId="144" fillId="0" borderId="0" xfId="12" applyNumberFormat="1" applyFont="1" applyFill="1" applyAlignment="1">
      <alignment vertical="center"/>
    </xf>
    <xf numFmtId="1" fontId="145" fillId="0" borderId="0" xfId="12" applyNumberFormat="1" applyFont="1" applyFill="1" applyAlignment="1">
      <alignment vertical="center"/>
    </xf>
    <xf numFmtId="1" fontId="41" fillId="0" borderId="0" xfId="12" applyNumberFormat="1" applyFont="1" applyFill="1" applyAlignment="1">
      <alignment vertical="center"/>
    </xf>
    <xf numFmtId="1" fontId="145" fillId="0" borderId="0" xfId="12" applyNumberFormat="1" applyFont="1" applyFill="1"/>
    <xf numFmtId="0" fontId="145" fillId="0" borderId="0" xfId="12" applyFont="1" applyFill="1"/>
    <xf numFmtId="0" fontId="144" fillId="0" borderId="0" xfId="12" applyFont="1" applyFill="1" applyAlignment="1">
      <alignment vertical="center"/>
    </xf>
    <xf numFmtId="2" fontId="144" fillId="0" borderId="0" xfId="12" applyNumberFormat="1" applyFont="1" applyFill="1" applyAlignment="1">
      <alignment vertical="center"/>
    </xf>
    <xf numFmtId="0" fontId="145" fillId="0" borderId="0" xfId="12" applyFont="1" applyFill="1" applyAlignment="1">
      <alignment vertical="center"/>
    </xf>
    <xf numFmtId="0" fontId="6" fillId="2" borderId="1" xfId="6" applyFont="1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1" fontId="123" fillId="0" borderId="0" xfId="0" applyNumberFormat="1" applyFont="1"/>
    <xf numFmtId="0" fontId="109" fillId="0" borderId="1" xfId="0" applyFont="1" applyBorder="1" applyAlignment="1">
      <alignment horizontal="left"/>
    </xf>
    <xf numFmtId="3" fontId="109" fillId="0" borderId="1" xfId="0" applyNumberFormat="1" applyFont="1" applyBorder="1"/>
    <xf numFmtId="1" fontId="61" fillId="0" borderId="1" xfId="12" applyNumberFormat="1" applyFont="1" applyFill="1" applyBorder="1" applyAlignment="1">
      <alignment horizontal="center" vertical="center" wrapText="1"/>
    </xf>
    <xf numFmtId="0" fontId="46" fillId="0" borderId="1" xfId="12" applyFont="1" applyFill="1" applyBorder="1" applyAlignment="1">
      <alignment horizontal="center" vertical="center" wrapText="1"/>
    </xf>
    <xf numFmtId="0" fontId="85" fillId="0" borderId="1" xfId="11" applyFont="1" applyFill="1" applyBorder="1" applyAlignment="1">
      <alignment horizontal="center" vertical="center" wrapText="1"/>
    </xf>
    <xf numFmtId="0" fontId="14" fillId="0" borderId="0" xfId="0" applyFont="1" applyFill="1"/>
    <xf numFmtId="0" fontId="28" fillId="0" borderId="1" xfId="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8" fillId="0" borderId="1" xfId="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6" xfId="0" applyFont="1" applyFill="1" applyBorder="1"/>
    <xf numFmtId="0" fontId="77" fillId="8" borderId="1" xfId="0" applyFont="1" applyFill="1" applyBorder="1" applyAlignment="1">
      <alignment horizontal="center"/>
    </xf>
    <xf numFmtId="0" fontId="77" fillId="8" borderId="1" xfId="0" applyFont="1" applyFill="1" applyBorder="1" applyAlignment="1">
      <alignment horizontal="left"/>
    </xf>
    <xf numFmtId="4" fontId="77" fillId="8" borderId="1" xfId="0" applyNumberFormat="1" applyFont="1" applyFill="1" applyBorder="1" applyAlignment="1">
      <alignment horizontal="center"/>
    </xf>
    <xf numFmtId="2" fontId="77" fillId="8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right" vertic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13" fillId="0" borderId="1" xfId="0" applyNumberFormat="1" applyFont="1" applyBorder="1" applyAlignment="1">
      <alignment horizontal="center"/>
    </xf>
    <xf numFmtId="4" fontId="0" fillId="0" borderId="7" xfId="0" applyNumberFormat="1" applyBorder="1"/>
    <xf numFmtId="0" fontId="0" fillId="0" borderId="7" xfId="0" applyBorder="1"/>
    <xf numFmtId="0" fontId="123" fillId="0" borderId="7" xfId="0" applyFont="1" applyBorder="1" applyAlignment="1">
      <alignment horizontal="center"/>
    </xf>
    <xf numFmtId="4" fontId="0" fillId="0" borderId="0" xfId="0" applyNumberFormat="1" applyBorder="1"/>
    <xf numFmtId="4" fontId="0" fillId="0" borderId="8" xfId="0" applyNumberFormat="1" applyBorder="1"/>
    <xf numFmtId="4" fontId="123" fillId="0" borderId="8" xfId="0" applyNumberFormat="1" applyFont="1" applyBorder="1" applyAlignment="1">
      <alignment horizontal="center"/>
    </xf>
    <xf numFmtId="4" fontId="123" fillId="0" borderId="9" xfId="0" applyNumberFormat="1" applyFont="1" applyBorder="1" applyAlignment="1">
      <alignment horizontal="center"/>
    </xf>
    <xf numFmtId="4" fontId="123" fillId="0" borderId="10" xfId="0" applyNumberFormat="1" applyFont="1" applyBorder="1"/>
    <xf numFmtId="0" fontId="123" fillId="0" borderId="9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12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4" fillId="7" borderId="0" xfId="12" applyFont="1" applyFill="1" applyAlignment="1">
      <alignment vertical="center"/>
    </xf>
    <xf numFmtId="2" fontId="88" fillId="7" borderId="1" xfId="12" applyNumberFormat="1" applyFont="1" applyFill="1" applyBorder="1" applyAlignment="1">
      <alignment horizontal="center" vertical="center" wrapText="1"/>
    </xf>
    <xf numFmtId="0" fontId="89" fillId="7" borderId="1" xfId="12" applyFont="1" applyFill="1" applyBorder="1" applyAlignment="1">
      <alignment horizontal="right" vertical="center"/>
    </xf>
    <xf numFmtId="2" fontId="89" fillId="7" borderId="1" xfId="12" applyNumberFormat="1" applyFont="1" applyFill="1" applyBorder="1" applyAlignment="1">
      <alignment horizontal="right" vertical="center"/>
    </xf>
    <xf numFmtId="1" fontId="89" fillId="7" borderId="1" xfId="12" applyNumberFormat="1" applyFont="1" applyFill="1" applyBorder="1" applyAlignment="1">
      <alignment horizontal="right" vertical="center"/>
    </xf>
    <xf numFmtId="1" fontId="89" fillId="7" borderId="1" xfId="12" applyNumberFormat="1" applyFont="1" applyFill="1" applyBorder="1" applyAlignment="1">
      <alignment horizontal="center" vertical="center"/>
    </xf>
    <xf numFmtId="1" fontId="145" fillId="7" borderId="0" xfId="12" applyNumberFormat="1" applyFont="1" applyFill="1"/>
    <xf numFmtId="0" fontId="145" fillId="7" borderId="0" xfId="12" applyFont="1" applyFill="1"/>
    <xf numFmtId="0" fontId="102" fillId="2" borderId="1" xfId="12" applyFont="1" applyFill="1" applyBorder="1" applyAlignment="1">
      <alignment horizontal="center" vertical="center" wrapText="1"/>
    </xf>
    <xf numFmtId="2" fontId="146" fillId="0" borderId="1" xfId="12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1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80" fillId="0" borderId="0" xfId="0" applyFont="1" applyAlignment="1">
      <alignment horizontal="center"/>
    </xf>
    <xf numFmtId="3" fontId="61" fillId="7" borderId="1" xfId="0" applyNumberFormat="1" applyFont="1" applyFill="1" applyBorder="1" applyAlignment="1" applyProtection="1">
      <alignment horizontal="center"/>
      <protection locked="0"/>
    </xf>
    <xf numFmtId="4" fontId="109" fillId="0" borderId="11" xfId="0" applyNumberFormat="1" applyFont="1" applyBorder="1" applyAlignment="1">
      <alignment horizontal="center"/>
    </xf>
    <xf numFmtId="0" fontId="109" fillId="0" borderId="8" xfId="0" applyFont="1" applyBorder="1"/>
    <xf numFmtId="4" fontId="109" fillId="0" borderId="8" xfId="0" applyNumberFormat="1" applyFont="1" applyBorder="1" applyAlignment="1">
      <alignment horizontal="center"/>
    </xf>
    <xf numFmtId="0" fontId="109" fillId="0" borderId="11" xfId="0" applyFont="1" applyBorder="1"/>
    <xf numFmtId="2" fontId="111" fillId="0" borderId="1" xfId="0" applyNumberFormat="1" applyFont="1" applyBorder="1" applyAlignment="1">
      <alignment horizontal="center"/>
    </xf>
    <xf numFmtId="4" fontId="77" fillId="0" borderId="1" xfId="0" applyNumberFormat="1" applyFont="1" applyBorder="1" applyAlignment="1">
      <alignment horizontal="center"/>
    </xf>
    <xf numFmtId="4" fontId="109" fillId="0" borderId="0" xfId="0" applyNumberFormat="1" applyFont="1"/>
    <xf numFmtId="0" fontId="0" fillId="0" borderId="12" xfId="0" applyBorder="1"/>
    <xf numFmtId="4" fontId="0" fillId="0" borderId="13" xfId="0" applyNumberFormat="1" applyBorder="1"/>
    <xf numFmtId="0" fontId="0" fillId="0" borderId="14" xfId="0" applyBorder="1"/>
    <xf numFmtId="4" fontId="0" fillId="0" borderId="15" xfId="0" applyNumberFormat="1" applyBorder="1"/>
    <xf numFmtId="0" fontId="0" fillId="0" borderId="16" xfId="0" applyBorder="1"/>
    <xf numFmtId="4" fontId="0" fillId="0" borderId="17" xfId="0" applyNumberFormat="1" applyBorder="1"/>
    <xf numFmtId="0" fontId="147" fillId="0" borderId="0" xfId="0" applyFont="1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/>
    </xf>
    <xf numFmtId="3" fontId="4" fillId="0" borderId="1" xfId="14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4" fillId="0" borderId="0" xfId="0" applyNumberFormat="1" applyFont="1" applyFill="1" applyBorder="1"/>
    <xf numFmtId="0" fontId="80" fillId="0" borderId="0" xfId="0" applyNumberFormat="1" applyFont="1" applyBorder="1" applyAlignment="1">
      <alignment vertical="center" wrapText="1"/>
    </xf>
    <xf numFmtId="1" fontId="0" fillId="0" borderId="0" xfId="0" applyNumberFormat="1" applyBorder="1"/>
    <xf numFmtId="0" fontId="80" fillId="0" borderId="18" xfId="0" applyFont="1" applyBorder="1"/>
    <xf numFmtId="0" fontId="80" fillId="0" borderId="3" xfId="0" applyFont="1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NumberFormat="1" applyBorder="1" applyAlignment="1">
      <alignment wrapText="1"/>
    </xf>
    <xf numFmtId="1" fontId="0" fillId="0" borderId="21" xfId="0" applyNumberFormat="1" applyBorder="1"/>
    <xf numFmtId="3" fontId="0" fillId="0" borderId="0" xfId="0" applyNumberFormat="1" applyBorder="1"/>
    <xf numFmtId="0" fontId="80" fillId="0" borderId="20" xfId="0" applyFont="1" applyBorder="1"/>
    <xf numFmtId="0" fontId="0" fillId="0" borderId="2" xfId="0" applyBorder="1"/>
    <xf numFmtId="0" fontId="0" fillId="0" borderId="22" xfId="0" applyBorder="1"/>
    <xf numFmtId="4" fontId="6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41" fillId="0" borderId="0" xfId="6" applyFont="1" applyAlignment="1">
      <alignment horizontal="left" vertical="center"/>
    </xf>
    <xf numFmtId="0" fontId="41" fillId="0" borderId="0" xfId="6" applyFont="1" applyAlignment="1">
      <alignment horizontal="center" vertical="center"/>
    </xf>
    <xf numFmtId="176" fontId="40" fillId="0" borderId="0" xfId="6" applyNumberFormat="1" applyFont="1" applyAlignment="1">
      <alignment horizontal="left" vertical="center" wrapText="1"/>
    </xf>
    <xf numFmtId="0" fontId="40" fillId="0" borderId="2" xfId="6" applyFont="1" applyBorder="1" applyAlignment="1">
      <alignment horizontal="center" vertical="center"/>
    </xf>
    <xf numFmtId="0" fontId="12" fillId="0" borderId="1" xfId="6" applyFont="1" applyBorder="1" applyAlignment="1">
      <alignment horizontal="left" vertical="center" wrapText="1"/>
    </xf>
    <xf numFmtId="0" fontId="125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6" applyNumberFormat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12" fillId="0" borderId="1" xfId="6" applyNumberFormat="1" applyFont="1" applyBorder="1" applyAlignment="1">
      <alignment horizontal="center" vertical="center"/>
    </xf>
    <xf numFmtId="4" fontId="12" fillId="0" borderId="1" xfId="6" applyNumberFormat="1" applyFont="1" applyBorder="1" applyAlignment="1">
      <alignment horizontal="left" vertical="center" wrapText="1"/>
    </xf>
    <xf numFmtId="0" fontId="12" fillId="0" borderId="1" xfId="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0" xfId="6" applyFont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12" fillId="0" borderId="1" xfId="6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6" applyFont="1" applyBorder="1" applyAlignment="1">
      <alignment horizontal="left" vertical="center"/>
    </xf>
    <xf numFmtId="0" fontId="12" fillId="0" borderId="5" xfId="6" applyFont="1" applyBorder="1" applyAlignment="1">
      <alignment vertical="center" wrapText="1"/>
    </xf>
    <xf numFmtId="0" fontId="123" fillId="0" borderId="23" xfId="0" applyFont="1" applyBorder="1" applyAlignment="1">
      <alignment vertical="center" wrapText="1"/>
    </xf>
    <xf numFmtId="0" fontId="123" fillId="0" borderId="24" xfId="0" applyFont="1" applyBorder="1" applyAlignment="1">
      <alignment vertical="center" wrapText="1"/>
    </xf>
    <xf numFmtId="0" fontId="12" fillId="0" borderId="1" xfId="6" applyFont="1" applyBorder="1" applyAlignment="1">
      <alignment horizontal="left" vertical="center"/>
    </xf>
    <xf numFmtId="0" fontId="61" fillId="0" borderId="1" xfId="0" applyFont="1" applyFill="1" applyBorder="1" applyAlignment="1" applyProtection="1">
      <alignment horizontal="left" wrapText="1"/>
      <protection locked="0"/>
    </xf>
    <xf numFmtId="0" fontId="46" fillId="0" borderId="1" xfId="0" applyFont="1" applyFill="1" applyBorder="1" applyAlignment="1" applyProtection="1">
      <alignment horizontal="left" wrapText="1"/>
      <protection locked="0"/>
    </xf>
    <xf numFmtId="0" fontId="46" fillId="8" borderId="1" xfId="0" applyFont="1" applyFill="1" applyBorder="1" applyAlignment="1" applyProtection="1">
      <alignment horizontal="left" wrapText="1"/>
      <protection locked="0"/>
    </xf>
    <xf numFmtId="0" fontId="4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53" fillId="0" borderId="0" xfId="0" applyFont="1" applyBorder="1" applyAlignment="1">
      <alignment horizontal="center" vertical="center"/>
    </xf>
    <xf numFmtId="0" fontId="46" fillId="0" borderId="1" xfId="0" applyFont="1" applyFill="1" applyBorder="1" applyAlignment="1" applyProtection="1">
      <alignment horizontal="center"/>
      <protection locked="0"/>
    </xf>
    <xf numFmtId="0" fontId="61" fillId="0" borderId="1" xfId="0" applyFont="1" applyFill="1" applyBorder="1" applyAlignment="1" applyProtection="1">
      <alignment horizontal="right" wrapText="1"/>
      <protection locked="0"/>
    </xf>
    <xf numFmtId="0" fontId="45" fillId="0" borderId="1" xfId="0" applyFont="1" applyFill="1" applyBorder="1" applyAlignment="1" applyProtection="1">
      <alignment horizontal="center"/>
      <protection locked="0"/>
    </xf>
    <xf numFmtId="0" fontId="66" fillId="2" borderId="5" xfId="0" applyFont="1" applyFill="1" applyBorder="1" applyAlignment="1">
      <alignment horizontal="center" vertical="center" wrapText="1"/>
    </xf>
    <xf numFmtId="0" fontId="66" fillId="2" borderId="23" xfId="0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left" vertical="center" wrapText="1"/>
    </xf>
    <xf numFmtId="0" fontId="67" fillId="0" borderId="23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66" fillId="8" borderId="1" xfId="0" applyFont="1" applyFill="1" applyBorder="1" applyAlignment="1">
      <alignment horizontal="left" vertical="center" wrapText="1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left" vertical="center" wrapText="1"/>
    </xf>
    <xf numFmtId="0" fontId="66" fillId="2" borderId="1" xfId="0" applyFont="1" applyFill="1" applyBorder="1" applyAlignment="1">
      <alignment horizontal="left" vertical="center"/>
    </xf>
    <xf numFmtId="0" fontId="66" fillId="8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4" fillId="0" borderId="0" xfId="10" applyFont="1" applyFill="1" applyAlignment="1">
      <alignment horizontal="center" wrapText="1"/>
    </xf>
    <xf numFmtId="0" fontId="88" fillId="0" borderId="1" xfId="0" applyFont="1" applyFill="1" applyBorder="1" applyAlignment="1">
      <alignment horizontal="center" vertical="center" wrapText="1"/>
    </xf>
    <xf numFmtId="0" fontId="93" fillId="8" borderId="1" xfId="12" applyFont="1" applyFill="1" applyBorder="1" applyAlignment="1">
      <alignment horizontal="center" vertical="center" wrapText="1"/>
    </xf>
    <xf numFmtId="0" fontId="88" fillId="0" borderId="1" xfId="12" applyFont="1" applyFill="1" applyBorder="1" applyAlignment="1">
      <alignment horizontal="center" vertical="center" wrapText="1"/>
    </xf>
    <xf numFmtId="0" fontId="41" fillId="0" borderId="1" xfId="12" applyFont="1" applyFill="1" applyBorder="1" applyAlignment="1">
      <alignment horizontal="center" vertical="center" wrapText="1"/>
    </xf>
    <xf numFmtId="0" fontId="89" fillId="0" borderId="1" xfId="12" applyFont="1" applyFill="1" applyBorder="1" applyAlignment="1">
      <alignment horizontal="center" vertical="center" wrapText="1"/>
    </xf>
    <xf numFmtId="0" fontId="94" fillId="0" borderId="1" xfId="12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61" fillId="0" borderId="1" xfId="12" applyFont="1" applyFill="1" applyBorder="1" applyAlignment="1">
      <alignment horizontal="center" vertical="center" textRotation="90" wrapText="1"/>
    </xf>
    <xf numFmtId="49" fontId="41" fillId="0" borderId="1" xfId="12" applyNumberFormat="1" applyFont="1" applyFill="1" applyBorder="1" applyAlignment="1">
      <alignment horizontal="center" vertical="center" wrapText="1" shrinkToFit="1"/>
    </xf>
    <xf numFmtId="0" fontId="140" fillId="0" borderId="1" xfId="12" applyFont="1" applyFill="1" applyBorder="1" applyAlignment="1">
      <alignment horizontal="center" vertical="center" wrapText="1" shrinkToFit="1"/>
    </xf>
    <xf numFmtId="49" fontId="41" fillId="0" borderId="1" xfId="12" applyNumberFormat="1" applyFont="1" applyFill="1" applyBorder="1" applyAlignment="1">
      <alignment horizontal="center" vertical="center" textRotation="90" wrapText="1" shrinkToFit="1"/>
    </xf>
    <xf numFmtId="0" fontId="41" fillId="0" borderId="1" xfId="12" applyFont="1" applyFill="1" applyBorder="1" applyAlignment="1">
      <alignment horizontal="center" wrapText="1"/>
    </xf>
    <xf numFmtId="0" fontId="41" fillId="0" borderId="1" xfId="12" applyFont="1" applyFill="1" applyBorder="1" applyAlignment="1">
      <alignment horizontal="center" vertical="center" textRotation="90" wrapText="1"/>
    </xf>
    <xf numFmtId="0" fontId="41" fillId="0" borderId="1" xfId="0" applyFont="1" applyFill="1" applyBorder="1" applyAlignment="1">
      <alignment horizontal="center" vertical="center" textRotation="90" wrapText="1"/>
    </xf>
    <xf numFmtId="0" fontId="59" fillId="0" borderId="0" xfId="12" applyFont="1" applyFill="1" applyAlignment="1">
      <alignment horizontal="center"/>
    </xf>
    <xf numFmtId="0" fontId="60" fillId="0" borderId="0" xfId="12" applyFont="1" applyFill="1" applyAlignment="1">
      <alignment horizontal="center"/>
    </xf>
    <xf numFmtId="0" fontId="98" fillId="0" borderId="0" xfId="12" applyFont="1" applyFill="1" applyAlignment="1">
      <alignment horizontal="center"/>
    </xf>
    <xf numFmtId="0" fontId="41" fillId="12" borderId="1" xfId="12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wrapText="1"/>
    </xf>
    <xf numFmtId="0" fontId="80" fillId="0" borderId="21" xfId="0" applyFont="1" applyBorder="1" applyAlignment="1">
      <alignment horizontal="center" wrapText="1"/>
    </xf>
    <xf numFmtId="0" fontId="69" fillId="0" borderId="1" xfId="6" applyFont="1" applyBorder="1" applyAlignment="1">
      <alignment horizontal="center" vertical="center" wrapText="1"/>
    </xf>
    <xf numFmtId="0" fontId="69" fillId="0" borderId="1" xfId="6" applyFont="1" applyBorder="1" applyAlignment="1">
      <alignment horizontal="left" vertical="center" wrapText="1"/>
    </xf>
    <xf numFmtId="0" fontId="117" fillId="0" borderId="0" xfId="0" applyFont="1" applyAlignment="1">
      <alignment horizontal="left" wrapText="1"/>
    </xf>
    <xf numFmtId="0" fontId="109" fillId="0" borderId="0" xfId="0" applyFont="1" applyAlignment="1">
      <alignment wrapText="1"/>
    </xf>
    <xf numFmtId="0" fontId="40" fillId="0" borderId="0" xfId="6" applyFont="1" applyAlignment="1">
      <alignment horizontal="center" wrapText="1"/>
    </xf>
    <xf numFmtId="0" fontId="41" fillId="0" borderId="0" xfId="6" applyFont="1" applyAlignment="1">
      <alignment wrapText="1"/>
    </xf>
    <xf numFmtId="0" fontId="119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51" fillId="7" borderId="25" xfId="0" applyFont="1" applyFill="1" applyBorder="1" applyAlignment="1">
      <alignment horizontal="center" vertical="center" wrapText="1"/>
    </xf>
    <xf numFmtId="0" fontId="51" fillId="7" borderId="26" xfId="0" applyFont="1" applyFill="1" applyBorder="1" applyAlignment="1">
      <alignment horizontal="center" vertical="center" wrapText="1"/>
    </xf>
    <xf numFmtId="0" fontId="51" fillId="7" borderId="2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9" fontId="26" fillId="2" borderId="0" xfId="0" applyNumberFormat="1" applyFont="1" applyFill="1" applyAlignment="1">
      <alignment horizontal="center" vertical="center"/>
    </xf>
  </cellXfs>
  <cellStyles count="18">
    <cellStyle name="Normal_meresha_07" xfId="1"/>
    <cellStyle name="Гиперссылка" xfId="2" builtinId="8"/>
    <cellStyle name="Денежный 2" xfId="3"/>
    <cellStyle name="Звичайний 2" xfId="4"/>
    <cellStyle name="Звичайний_ВИДАТКИ 2011 РОКУ" xfId="5"/>
    <cellStyle name="Обычный" xfId="0" builtinId="0"/>
    <cellStyle name="Обычный 2" xfId="6"/>
    <cellStyle name="Обычный 2 2" xfId="7"/>
    <cellStyle name="Обычный 3" xfId="8"/>
    <cellStyle name="Обычный 7" xfId="9"/>
    <cellStyle name="Обычный_ІІІ етап ЄТС остаточний" xfId="10"/>
    <cellStyle name="Обычный_Тарифікація А ЗПСМ станом на 01.01.2013 р." xfId="11"/>
    <cellStyle name="Обычный_Тарифікація ЦРЛ станом на 02.07.2013 р." xfId="12"/>
    <cellStyle name="Обычный_ШТАТИ на 01 грудня 2013 року" xfId="13"/>
    <cellStyle name="Процентный" xfId="14" builtinId="5"/>
    <cellStyle name="Стиль 1" xfId="15"/>
    <cellStyle name="Тысячи [0]_Розподіл (2)" xfId="16"/>
    <cellStyle name="Тысячи_бюджет 1998 по клас." xfId="17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01_&#1044;&#1086;&#1093;&#1086;&#1076;&#1080;'!H10"/><Relationship Id="rId18" Type="http://schemas.openxmlformats.org/officeDocument/2006/relationships/hyperlink" Target="#'01_&#1044;&#1086;&#1093;&#1086;&#1076;&#1080;'!H10"/><Relationship Id="rId26" Type="http://schemas.openxmlformats.org/officeDocument/2006/relationships/hyperlink" Target="#'01_&#1044;&#1086;&#1093;&#1086;&#1076;&#1080;'!H10"/><Relationship Id="rId39" Type="http://schemas.openxmlformats.org/officeDocument/2006/relationships/hyperlink" Target="#'01_&#1044;&#1086;&#1093;&#1086;&#1076;&#1080;'!H10"/><Relationship Id="rId21" Type="http://schemas.openxmlformats.org/officeDocument/2006/relationships/hyperlink" Target="#'01_&#1044;&#1086;&#1093;&#1086;&#1076;&#1080;'!H10"/><Relationship Id="rId34" Type="http://schemas.openxmlformats.org/officeDocument/2006/relationships/hyperlink" Target="#'01_&#1044;&#1086;&#1093;&#1086;&#1076;&#1080;'!H10"/><Relationship Id="rId42" Type="http://schemas.openxmlformats.org/officeDocument/2006/relationships/hyperlink" Target="#'01_&#1044;&#1086;&#1093;&#1086;&#1076;&#1080;'!H10"/><Relationship Id="rId47" Type="http://schemas.openxmlformats.org/officeDocument/2006/relationships/hyperlink" Target="#'01_&#1044;&#1086;&#1093;&#1086;&#1076;&#1080;'!H10"/><Relationship Id="rId50" Type="http://schemas.openxmlformats.org/officeDocument/2006/relationships/hyperlink" Target="#'01_&#1044;&#1086;&#1093;&#1086;&#1076;&#1080;'!H10"/><Relationship Id="rId55" Type="http://schemas.openxmlformats.org/officeDocument/2006/relationships/hyperlink" Target="#'01_&#1044;&#1086;&#1093;&#1086;&#1076;&#1080;'!H10"/><Relationship Id="rId63" Type="http://schemas.openxmlformats.org/officeDocument/2006/relationships/hyperlink" Target="#'01_&#1044;&#1086;&#1093;&#1086;&#1076;&#1080;'!H10"/><Relationship Id="rId68" Type="http://schemas.openxmlformats.org/officeDocument/2006/relationships/hyperlink" Target="#'01_&#1044;&#1086;&#1093;&#1086;&#1076;&#1080;'!H10"/><Relationship Id="rId76" Type="http://schemas.openxmlformats.org/officeDocument/2006/relationships/hyperlink" Target="#'01_&#1044;&#1086;&#1093;&#1086;&#1076;&#1080;'!H10"/><Relationship Id="rId84" Type="http://schemas.openxmlformats.org/officeDocument/2006/relationships/hyperlink" Target="#'01_&#1044;&#1086;&#1093;&#1086;&#1076;&#1080;'!H10"/><Relationship Id="rId7" Type="http://schemas.openxmlformats.org/officeDocument/2006/relationships/hyperlink" Target="#'01_&#1044;&#1086;&#1093;&#1086;&#1076;&#1080;'!H10"/><Relationship Id="rId71" Type="http://schemas.openxmlformats.org/officeDocument/2006/relationships/hyperlink" Target="#'01_&#1044;&#1086;&#1093;&#1086;&#1076;&#1080;'!H10"/><Relationship Id="rId2" Type="http://schemas.openxmlformats.org/officeDocument/2006/relationships/image" Target="../media/image1.png"/><Relationship Id="rId16" Type="http://schemas.openxmlformats.org/officeDocument/2006/relationships/hyperlink" Target="#'01_&#1044;&#1086;&#1093;&#1086;&#1076;&#1080;'!H10"/><Relationship Id="rId29" Type="http://schemas.openxmlformats.org/officeDocument/2006/relationships/hyperlink" Target="#'01_&#1044;&#1086;&#1093;&#1086;&#1076;&#1080;'!H10"/><Relationship Id="rId11" Type="http://schemas.openxmlformats.org/officeDocument/2006/relationships/hyperlink" Target="#'01_&#1044;&#1086;&#1093;&#1086;&#1076;&#1080;'!H10"/><Relationship Id="rId24" Type="http://schemas.openxmlformats.org/officeDocument/2006/relationships/hyperlink" Target="#'01_&#1044;&#1086;&#1093;&#1086;&#1076;&#1080;'!H10"/><Relationship Id="rId32" Type="http://schemas.openxmlformats.org/officeDocument/2006/relationships/hyperlink" Target="#'01_&#1044;&#1086;&#1093;&#1086;&#1076;&#1080;'!H10"/><Relationship Id="rId37" Type="http://schemas.openxmlformats.org/officeDocument/2006/relationships/hyperlink" Target="#'01_&#1044;&#1086;&#1093;&#1086;&#1076;&#1080;'!H10"/><Relationship Id="rId40" Type="http://schemas.openxmlformats.org/officeDocument/2006/relationships/hyperlink" Target="#'01_&#1044;&#1086;&#1093;&#1086;&#1076;&#1080;'!H10"/><Relationship Id="rId45" Type="http://schemas.openxmlformats.org/officeDocument/2006/relationships/hyperlink" Target="#'01_&#1044;&#1086;&#1093;&#1086;&#1076;&#1080;'!H10"/><Relationship Id="rId53" Type="http://schemas.openxmlformats.org/officeDocument/2006/relationships/hyperlink" Target="#'01_&#1044;&#1086;&#1093;&#1086;&#1076;&#1080;'!H10"/><Relationship Id="rId58" Type="http://schemas.openxmlformats.org/officeDocument/2006/relationships/hyperlink" Target="#'01_&#1044;&#1086;&#1093;&#1086;&#1076;&#1080;'!H10"/><Relationship Id="rId66" Type="http://schemas.openxmlformats.org/officeDocument/2006/relationships/hyperlink" Target="#'01_&#1044;&#1086;&#1093;&#1086;&#1076;&#1080;'!H10"/><Relationship Id="rId74" Type="http://schemas.openxmlformats.org/officeDocument/2006/relationships/hyperlink" Target="#'01_&#1044;&#1086;&#1093;&#1086;&#1076;&#1080;'!H10"/><Relationship Id="rId79" Type="http://schemas.openxmlformats.org/officeDocument/2006/relationships/hyperlink" Target="#'01_&#1044;&#1086;&#1093;&#1086;&#1076;&#1080;'!H10"/><Relationship Id="rId5" Type="http://schemas.openxmlformats.org/officeDocument/2006/relationships/hyperlink" Target="#'01_&#1044;&#1086;&#1093;&#1086;&#1076;&#1080;'!H10"/><Relationship Id="rId61" Type="http://schemas.openxmlformats.org/officeDocument/2006/relationships/hyperlink" Target="#'01_&#1044;&#1086;&#1093;&#1086;&#1076;&#1080;'!H10"/><Relationship Id="rId82" Type="http://schemas.openxmlformats.org/officeDocument/2006/relationships/hyperlink" Target="#'01_&#1044;&#1086;&#1093;&#1086;&#1076;&#1080;'!H10"/><Relationship Id="rId19" Type="http://schemas.openxmlformats.org/officeDocument/2006/relationships/hyperlink" Target="#'01_&#1044;&#1086;&#1093;&#1086;&#1076;&#1080;'!H10"/><Relationship Id="rId4" Type="http://schemas.openxmlformats.org/officeDocument/2006/relationships/hyperlink" Target="#'01_&#1044;&#1086;&#1093;&#1086;&#1076;&#1080;'!H10"/><Relationship Id="rId9" Type="http://schemas.openxmlformats.org/officeDocument/2006/relationships/hyperlink" Target="#'01_&#1044;&#1086;&#1093;&#1086;&#1076;&#1080;'!H10"/><Relationship Id="rId14" Type="http://schemas.openxmlformats.org/officeDocument/2006/relationships/hyperlink" Target="#'01_&#1044;&#1086;&#1093;&#1086;&#1076;&#1080;'!H10"/><Relationship Id="rId22" Type="http://schemas.openxmlformats.org/officeDocument/2006/relationships/hyperlink" Target="#'01_&#1044;&#1086;&#1093;&#1086;&#1076;&#1080;'!H10"/><Relationship Id="rId27" Type="http://schemas.openxmlformats.org/officeDocument/2006/relationships/hyperlink" Target="#'01_&#1044;&#1086;&#1093;&#1086;&#1076;&#1080;'!H10"/><Relationship Id="rId30" Type="http://schemas.openxmlformats.org/officeDocument/2006/relationships/hyperlink" Target="#'01_&#1044;&#1086;&#1093;&#1086;&#1076;&#1080;'!H10"/><Relationship Id="rId35" Type="http://schemas.openxmlformats.org/officeDocument/2006/relationships/hyperlink" Target="#'01_&#1044;&#1086;&#1093;&#1086;&#1076;&#1080;'!H10"/><Relationship Id="rId43" Type="http://schemas.openxmlformats.org/officeDocument/2006/relationships/hyperlink" Target="#'01_&#1044;&#1086;&#1093;&#1086;&#1076;&#1080;'!H10"/><Relationship Id="rId48" Type="http://schemas.openxmlformats.org/officeDocument/2006/relationships/hyperlink" Target="#'01_&#1044;&#1086;&#1093;&#1086;&#1076;&#1080;'!H10"/><Relationship Id="rId56" Type="http://schemas.openxmlformats.org/officeDocument/2006/relationships/hyperlink" Target="#'01_&#1044;&#1086;&#1093;&#1086;&#1076;&#1080;'!H10"/><Relationship Id="rId64" Type="http://schemas.openxmlformats.org/officeDocument/2006/relationships/hyperlink" Target="#'01_&#1044;&#1086;&#1093;&#1086;&#1076;&#1080;'!H10"/><Relationship Id="rId69" Type="http://schemas.openxmlformats.org/officeDocument/2006/relationships/hyperlink" Target="#'01_&#1044;&#1086;&#1093;&#1086;&#1076;&#1080;'!H10"/><Relationship Id="rId77" Type="http://schemas.openxmlformats.org/officeDocument/2006/relationships/hyperlink" Target="#'01_&#1044;&#1086;&#1093;&#1086;&#1076;&#1080;'!H10"/><Relationship Id="rId8" Type="http://schemas.openxmlformats.org/officeDocument/2006/relationships/hyperlink" Target="#'01_&#1044;&#1086;&#1093;&#1086;&#1076;&#1080;'!H10"/><Relationship Id="rId51" Type="http://schemas.openxmlformats.org/officeDocument/2006/relationships/hyperlink" Target="#'01_&#1044;&#1086;&#1093;&#1086;&#1076;&#1080;'!H10"/><Relationship Id="rId72" Type="http://schemas.openxmlformats.org/officeDocument/2006/relationships/hyperlink" Target="#'01_&#1044;&#1086;&#1093;&#1086;&#1076;&#1080;'!H10"/><Relationship Id="rId80" Type="http://schemas.openxmlformats.org/officeDocument/2006/relationships/hyperlink" Target="#'01_&#1044;&#1086;&#1093;&#1086;&#1076;&#1080;'!H10"/><Relationship Id="rId85" Type="http://schemas.openxmlformats.org/officeDocument/2006/relationships/hyperlink" Target="#'01_&#1044;&#1086;&#1093;&#1086;&#1076;&#1080;'!H10"/><Relationship Id="rId3" Type="http://schemas.openxmlformats.org/officeDocument/2006/relationships/hyperlink" Target="#'01_&#1044;&#1086;&#1093;&#1086;&#1076;&#1080;'!H10"/><Relationship Id="rId12" Type="http://schemas.openxmlformats.org/officeDocument/2006/relationships/hyperlink" Target="#'01_&#1044;&#1086;&#1093;&#1086;&#1076;&#1080;'!H10"/><Relationship Id="rId17" Type="http://schemas.openxmlformats.org/officeDocument/2006/relationships/hyperlink" Target="#'01_&#1044;&#1086;&#1093;&#1086;&#1076;&#1080;'!H10"/><Relationship Id="rId25" Type="http://schemas.openxmlformats.org/officeDocument/2006/relationships/hyperlink" Target="#'01_&#1044;&#1086;&#1093;&#1086;&#1076;&#1080;'!H10"/><Relationship Id="rId33" Type="http://schemas.openxmlformats.org/officeDocument/2006/relationships/hyperlink" Target="#'01_&#1044;&#1086;&#1093;&#1086;&#1076;&#1080;'!H10"/><Relationship Id="rId38" Type="http://schemas.openxmlformats.org/officeDocument/2006/relationships/hyperlink" Target="#'01_&#1044;&#1086;&#1093;&#1086;&#1076;&#1080;'!H10"/><Relationship Id="rId46" Type="http://schemas.openxmlformats.org/officeDocument/2006/relationships/hyperlink" Target="#'01_&#1044;&#1086;&#1093;&#1086;&#1076;&#1080;'!H10"/><Relationship Id="rId59" Type="http://schemas.openxmlformats.org/officeDocument/2006/relationships/hyperlink" Target="#'01_&#1044;&#1086;&#1093;&#1086;&#1076;&#1080;'!H10"/><Relationship Id="rId67" Type="http://schemas.openxmlformats.org/officeDocument/2006/relationships/hyperlink" Target="#'01_&#1044;&#1086;&#1093;&#1086;&#1076;&#1080;'!H10"/><Relationship Id="rId20" Type="http://schemas.openxmlformats.org/officeDocument/2006/relationships/hyperlink" Target="#'01_&#1044;&#1086;&#1093;&#1086;&#1076;&#1080;'!H10"/><Relationship Id="rId41" Type="http://schemas.openxmlformats.org/officeDocument/2006/relationships/hyperlink" Target="#'01_&#1044;&#1086;&#1093;&#1086;&#1076;&#1080;'!H10"/><Relationship Id="rId54" Type="http://schemas.openxmlformats.org/officeDocument/2006/relationships/hyperlink" Target="#'01_&#1044;&#1086;&#1093;&#1086;&#1076;&#1080;'!H10"/><Relationship Id="rId62" Type="http://schemas.openxmlformats.org/officeDocument/2006/relationships/hyperlink" Target="#'01_&#1044;&#1086;&#1093;&#1086;&#1076;&#1080;'!H10"/><Relationship Id="rId70" Type="http://schemas.openxmlformats.org/officeDocument/2006/relationships/hyperlink" Target="#'01_&#1044;&#1086;&#1093;&#1086;&#1076;&#1080;'!H10"/><Relationship Id="rId75" Type="http://schemas.openxmlformats.org/officeDocument/2006/relationships/hyperlink" Target="#'01_&#1044;&#1086;&#1093;&#1086;&#1076;&#1080;'!H10"/><Relationship Id="rId83" Type="http://schemas.openxmlformats.org/officeDocument/2006/relationships/hyperlink" Target="#'01_&#1044;&#1086;&#1093;&#1086;&#1076;&#1080;'!H10"/><Relationship Id="rId1" Type="http://schemas.openxmlformats.org/officeDocument/2006/relationships/hyperlink" Target="#'01_&#1044;&#1086;&#1093;&#1086;&#1076;&#1080;'!H10"/><Relationship Id="rId6" Type="http://schemas.openxmlformats.org/officeDocument/2006/relationships/hyperlink" Target="#'01_&#1044;&#1086;&#1093;&#1086;&#1076;&#1080;'!H10"/><Relationship Id="rId15" Type="http://schemas.openxmlformats.org/officeDocument/2006/relationships/hyperlink" Target="#'01_&#1044;&#1086;&#1093;&#1086;&#1076;&#1080;'!H10"/><Relationship Id="rId23" Type="http://schemas.openxmlformats.org/officeDocument/2006/relationships/hyperlink" Target="#'01_&#1044;&#1086;&#1093;&#1086;&#1076;&#1080;'!H10"/><Relationship Id="rId28" Type="http://schemas.openxmlformats.org/officeDocument/2006/relationships/hyperlink" Target="#'01_&#1044;&#1086;&#1093;&#1086;&#1076;&#1080;'!H10"/><Relationship Id="rId36" Type="http://schemas.openxmlformats.org/officeDocument/2006/relationships/hyperlink" Target="#'01_&#1044;&#1086;&#1093;&#1086;&#1076;&#1080;'!H10"/><Relationship Id="rId49" Type="http://schemas.openxmlformats.org/officeDocument/2006/relationships/hyperlink" Target="#'01_&#1044;&#1086;&#1093;&#1086;&#1076;&#1080;'!H10"/><Relationship Id="rId57" Type="http://schemas.openxmlformats.org/officeDocument/2006/relationships/hyperlink" Target="#'01_&#1044;&#1086;&#1093;&#1086;&#1076;&#1080;'!H10"/><Relationship Id="rId10" Type="http://schemas.openxmlformats.org/officeDocument/2006/relationships/hyperlink" Target="#'01_&#1044;&#1086;&#1093;&#1086;&#1076;&#1080;'!H10"/><Relationship Id="rId31" Type="http://schemas.openxmlformats.org/officeDocument/2006/relationships/hyperlink" Target="#'01_&#1044;&#1086;&#1093;&#1086;&#1076;&#1080;'!H10"/><Relationship Id="rId44" Type="http://schemas.openxmlformats.org/officeDocument/2006/relationships/hyperlink" Target="#'01_&#1044;&#1086;&#1093;&#1086;&#1076;&#1080;'!H10"/><Relationship Id="rId52" Type="http://schemas.openxmlformats.org/officeDocument/2006/relationships/hyperlink" Target="#'01_&#1044;&#1086;&#1093;&#1086;&#1076;&#1080;'!H10"/><Relationship Id="rId60" Type="http://schemas.openxmlformats.org/officeDocument/2006/relationships/hyperlink" Target="#'01_&#1044;&#1086;&#1093;&#1086;&#1076;&#1080;'!H10"/><Relationship Id="rId65" Type="http://schemas.openxmlformats.org/officeDocument/2006/relationships/hyperlink" Target="#'01_&#1044;&#1086;&#1093;&#1086;&#1076;&#1080;'!H10"/><Relationship Id="rId73" Type="http://schemas.openxmlformats.org/officeDocument/2006/relationships/hyperlink" Target="#'01_&#1044;&#1086;&#1093;&#1086;&#1076;&#1080;'!H10"/><Relationship Id="rId78" Type="http://schemas.openxmlformats.org/officeDocument/2006/relationships/hyperlink" Target="#'01_&#1044;&#1086;&#1093;&#1086;&#1076;&#1080;'!H10"/><Relationship Id="rId81" Type="http://schemas.openxmlformats.org/officeDocument/2006/relationships/hyperlink" Target="#'01_&#1044;&#1086;&#1093;&#1086;&#1076;&#1080;'!H10"/><Relationship Id="rId86" Type="http://schemas.openxmlformats.org/officeDocument/2006/relationships/hyperlink" Target="#'01_&#1044;&#1086;&#1093;&#1086;&#1076;&#1080;'!H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49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220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0" name="Рисунок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1" name="Рисунок 8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2" name="Рисунок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3" name="Рисунок 1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4" name="Рисунок 1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5" name="Рисунок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6" name="Рисунок 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0</xdr:rowOff>
    </xdr:from>
    <xdr:to>
      <xdr:col>0</xdr:col>
      <xdr:colOff>714375</xdr:colOff>
      <xdr:row>25</xdr:row>
      <xdr:rowOff>314325</xdr:rowOff>
    </xdr:to>
    <xdr:pic>
      <xdr:nvPicPr>
        <xdr:cNvPr id="2057" name="Рисунок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2202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58" name="Рисунок 1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202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59" name="Рисунок 16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60" name="Рисунок 1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61" name="Рисунок 18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62" name="Рисунок 19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220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63" name="Рисунок 2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64" name="Рисунок 21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65" name="Рисунок 22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66" name="Рисунок 23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67" name="Рисунок 24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68" name="Рисунок 25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69" name="Рисунок 26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70" name="Рисунок 27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71" name="Рисунок 28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72" name="Рисунок 29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73" name="Рисунок 30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74" name="Рисунок 31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75" name="Рисунок 32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76" name="Рисунок 33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77" name="Рисунок 34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2202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78" name="Рисунок 35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79" name="Рисунок 36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0" name="Рисунок 37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1" name="Рисунок 38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2" name="Рисунок 39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3" name="Рисунок 40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4" name="Рисунок 41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5" name="Рисунок 42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6" name="Рисунок 43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7" name="Рисунок 44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88" name="Рисунок 45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89" name="Рисунок 46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23</xdr:row>
      <xdr:rowOff>0</xdr:rowOff>
    </xdr:from>
    <xdr:to>
      <xdr:col>0</xdr:col>
      <xdr:colOff>714375</xdr:colOff>
      <xdr:row>25</xdr:row>
      <xdr:rowOff>314325</xdr:rowOff>
    </xdr:to>
    <xdr:pic>
      <xdr:nvPicPr>
        <xdr:cNvPr id="2090" name="Рисунок 47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9220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91" name="Рисунок 48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92" name="Рисунок 49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93" name="Рисунок 50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94" name="Рисунок 51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95" name="Рисунок 52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96" name="Рисунок 53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97" name="Рисунок 54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098" name="Рисунок 55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220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099" name="Рисунок 56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0" name="Рисунок 57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1" name="Рисунок 58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2" name="Рисунок 59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3" name="Рисунок 60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4" name="Рисунок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5" name="Рисунок 62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6" name="Рисунок 63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107" name="Рисунок 64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220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108" name="Рисунок 65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220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09" name="Рисунок 66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110" name="Рисунок 67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0</xdr:rowOff>
    </xdr:from>
    <xdr:to>
      <xdr:col>0</xdr:col>
      <xdr:colOff>695325</xdr:colOff>
      <xdr:row>25</xdr:row>
      <xdr:rowOff>314325</xdr:rowOff>
    </xdr:to>
    <xdr:pic>
      <xdr:nvPicPr>
        <xdr:cNvPr id="2111" name="Рисунок 68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2202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2" name="Рисунок 69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3" name="Рисунок 70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4" name="Рисунок 71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5" name="Рисунок 72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6" name="Рисунок 73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7" name="Рисунок 74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8" name="Рисунок 75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19" name="Рисунок 76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0" name="Рисунок 77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1" name="Рисунок 78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2" name="Рисунок 79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3" name="Рисунок 80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4" name="Рисунок 81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5" name="Рисунок 82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6" name="Рисунок 83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7" name="Рисунок 84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8" name="Рисунок 85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29" name="Рисунок 86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30" name="Рисунок 87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31" name="Рисунок 88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32" name="Рисунок 89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676275</xdr:colOff>
      <xdr:row>25</xdr:row>
      <xdr:rowOff>314325</xdr:rowOff>
    </xdr:to>
    <xdr:pic>
      <xdr:nvPicPr>
        <xdr:cNvPr id="2133" name="Рисунок 90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02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riadna/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ore\buxtmp\work\COMMON\&#1040;&#1087;&#1072;&#1088;&#1072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53;&#1086;&#1074;&#1072;&#1103;%20&#1087;&#1072;&#1087;&#1082;&#1072;/&#1064;&#1090;&#1072;&#1090;&#1085;&#1080;&#1081;,%20&#1090;&#1072;&#1088;&#1080;&#1092;&#1110;&#1082;&#1072;&#1094;&#1110;&#1103;/&#1064;&#1090;&#1072;&#1090;&#1085;&#1080;&#1081;%20&#1088;&#1086;&#1079;&#1087;&#1080;&#1089;%20,%20&#1058;&#1072;&#1088;&#1080;&#1092;&#1110;&#1082;&#1072;&#1094;&#1110;&#1081;&#1085;&#1110;%20&#1089;&#1087;&#1080;&#1089;&#1082;&#1080;%20&#1085;&#1072;%2001%20&#1089;&#1110;&#1095;&#1085;&#1103;%202024%20&#1088;&#1086;&#1082;&#1091;-&#1076;&#1083;&#1103;%20&#1088;&#1086;&#1073;&#1086;&#1090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Links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Setup"/>
      <sheetName val="200"/>
      <sheetName val="1993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додаток до звіту"/>
      <sheetName val="7  інші витрати"/>
    </sheetNames>
    <sheetDataSet>
      <sheetData sheetId="0" refreshError="1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додаток до звіту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</sheetNames>
    <sheetDataSet>
      <sheetData sheetId="0" refreshError="1">
        <row r="1">
          <cell r="B1" t="str">
            <v>SBK_FIO</v>
          </cell>
          <cell r="C1" t="str">
            <v>INN</v>
          </cell>
          <cell r="D1" t="str">
            <v>SBK_NUM</v>
          </cell>
          <cell r="E1" t="str">
            <v>SBK_SUM</v>
          </cell>
          <cell r="F1" t="str">
            <v>SBK_SHR</v>
          </cell>
          <cell r="G1" t="str">
            <v>SBK_FLR</v>
          </cell>
        </row>
        <row r="2">
          <cell r="B2" t="str">
            <v>АЛЕКСАНДРІНА ТЕТЯНА АНДРІЇВНА</v>
          </cell>
          <cell r="C2" t="str">
            <v>2116803168</v>
          </cell>
          <cell r="D2" t="str">
            <v>26256071271001</v>
          </cell>
        </row>
        <row r="3">
          <cell r="B3" t="str">
            <v>АЛЄШКО ДМИТРО ВАСИЛЬОВИЧ</v>
          </cell>
          <cell r="C3" t="str">
            <v>2813400672</v>
          </cell>
          <cell r="D3" t="str">
            <v>26256082679001</v>
          </cell>
        </row>
        <row r="4">
          <cell r="B4" t="str">
            <v>АНТОНЕНКОВА ГАЛИНА ОЛЕКСАНДРІВНА</v>
          </cell>
          <cell r="C4" t="str">
            <v>1813115784</v>
          </cell>
          <cell r="D4" t="str">
            <v>26259059955001</v>
          </cell>
        </row>
        <row r="5">
          <cell r="B5" t="str">
            <v>АРЕФЕВА ОЛЬГА ЕВГЕНІЇВНА</v>
          </cell>
          <cell r="C5" t="str">
            <v>2205707827</v>
          </cell>
          <cell r="D5" t="str">
            <v>26253059285001</v>
          </cell>
        </row>
        <row r="6">
          <cell r="B6" t="str">
            <v>АРОНОВА МАРІЯ МИКОЛАЇВНА</v>
          </cell>
          <cell r="C6" t="str">
            <v>2383614047</v>
          </cell>
          <cell r="D6" t="str">
            <v>26251064722001</v>
          </cell>
        </row>
        <row r="7">
          <cell r="B7" t="str">
            <v>АРТЕМЕНКО НАТАЛІЯ МИКОЛАЇВНА</v>
          </cell>
          <cell r="C7" t="str">
            <v>2742305863</v>
          </cell>
          <cell r="D7" t="str">
            <v>26256151005001</v>
          </cell>
        </row>
        <row r="8">
          <cell r="B8" t="str">
            <v>БАГАЛІКА ЛАРИСА ВОЛОДИМИРІВНА</v>
          </cell>
          <cell r="C8" t="str">
            <v>2371206088</v>
          </cell>
          <cell r="D8" t="str">
            <v>26255063086001</v>
          </cell>
        </row>
        <row r="9">
          <cell r="B9" t="str">
            <v>БАДЕЙ ОКСАНА ІГОРІВНА</v>
          </cell>
          <cell r="C9" t="str">
            <v>2841315327</v>
          </cell>
          <cell r="D9" t="str">
            <v>26253147197001</v>
          </cell>
        </row>
        <row r="10">
          <cell r="B10" t="str">
            <v>БАЗИКА ДИМИТРІЙ АНАТОЛІЙОВИЧ</v>
          </cell>
          <cell r="C10" t="str">
            <v>1930415455</v>
          </cell>
          <cell r="D10" t="str">
            <v>26254100100001</v>
          </cell>
        </row>
        <row r="11">
          <cell r="B11" t="str">
            <v>БАНЧУК МИКОЛА ВАСИЛЬОВИЧ</v>
          </cell>
          <cell r="C11" t="str">
            <v>2181417211</v>
          </cell>
          <cell r="D11" t="str">
            <v>26258102911001</v>
          </cell>
        </row>
        <row r="12">
          <cell r="B12" t="str">
            <v>БАРАНОВА ЛАРИСА ОЛЕКСАНДРІВНА</v>
          </cell>
          <cell r="C12" t="str">
            <v>2176919908</v>
          </cell>
          <cell r="D12" t="str">
            <v>26253175910001</v>
          </cell>
        </row>
        <row r="13">
          <cell r="B13" t="str">
            <v>БАРАНОВА ТЕТЯНА ВІКТОРІВНА</v>
          </cell>
          <cell r="C13" t="str">
            <v>1974906824</v>
          </cell>
          <cell r="D13" t="str">
            <v>26256063052001</v>
          </cell>
        </row>
        <row r="14">
          <cell r="B14" t="str">
            <v>БЕЗВЕРХА НАДІЯ ІВАНІВНА</v>
          </cell>
          <cell r="C14" t="str">
            <v>2077315821</v>
          </cell>
          <cell r="D14" t="str">
            <v>26256183578001</v>
          </cell>
        </row>
        <row r="15">
          <cell r="B15" t="str">
            <v>БЕЛЧЕНКО ВАЛЕНТИНА МИХАЙЛІВНА</v>
          </cell>
          <cell r="C15" t="str">
            <v>2094823263</v>
          </cell>
          <cell r="D15" t="str">
            <v>26253067664001</v>
          </cell>
        </row>
        <row r="16">
          <cell r="B16" t="str">
            <v>БЕРЕЖНОВ СЕРГІЙ ПЕТРОВИЧ</v>
          </cell>
          <cell r="C16" t="str">
            <v>1797915097</v>
          </cell>
          <cell r="D16" t="str">
            <v>26257063051001</v>
          </cell>
        </row>
        <row r="17">
          <cell r="B17" t="str">
            <v>БЕРЕЗОВА НАДІЯ АНАТОЛІЇВНА</v>
          </cell>
          <cell r="C17" t="str">
            <v>2927209407</v>
          </cell>
          <cell r="D17" t="str">
            <v>26253102035001</v>
          </cell>
        </row>
        <row r="18">
          <cell r="B18" t="str">
            <v>БЄЛОТЕЛОВ МИКОЛА ГЕОРГІЙОВИЧ</v>
          </cell>
          <cell r="C18" t="str">
            <v>1874405851</v>
          </cell>
          <cell r="D18" t="str">
            <v>26258059945001</v>
          </cell>
        </row>
        <row r="19">
          <cell r="B19" t="str">
            <v>БІЛИЙ ВОЛОДИМИР ЯКОВИЧ</v>
          </cell>
          <cell r="C19" t="str">
            <v>1640205233</v>
          </cell>
          <cell r="D19" t="str">
            <v>26258073879001</v>
          </cell>
        </row>
        <row r="20">
          <cell r="B20" t="str">
            <v>БІЛИЙ ОЛЕКСАНДР ВОЛОДИМИРОВИЧ</v>
          </cell>
          <cell r="C20" t="str">
            <v>2636914178</v>
          </cell>
          <cell r="D20" t="str">
            <v>26256117674001</v>
          </cell>
        </row>
        <row r="21">
          <cell r="B21" t="str">
            <v>БІЛОКОНЬ ГАЛИНА ДЕМЯНІВНА</v>
          </cell>
          <cell r="C21" t="str">
            <v>2239011344</v>
          </cell>
          <cell r="D21" t="str">
            <v>26253071025001</v>
          </cell>
        </row>
        <row r="22">
          <cell r="B22" t="str">
            <v>БІЛОЩИЦЬКА НАТАЛІЯ ОЛЕКСІЇВНА</v>
          </cell>
          <cell r="C22" t="str">
            <v>2754216586</v>
          </cell>
          <cell r="D22" t="str">
            <v>26259148189001</v>
          </cell>
        </row>
        <row r="23">
          <cell r="B23" t="str">
            <v>БОГУСЛАВСЬКА ОЛЕКСАНДРА ІГОРІВНА</v>
          </cell>
          <cell r="C23" t="str">
            <v>2300206004</v>
          </cell>
          <cell r="D23" t="str">
            <v>26258059956001</v>
          </cell>
        </row>
        <row r="24">
          <cell r="B24" t="str">
            <v>БОДНАРУК НАТАЛІЯ МИКОЛАЇВНА</v>
          </cell>
          <cell r="C24" t="str">
            <v>2804908962</v>
          </cell>
          <cell r="D24" t="str">
            <v>26257130887001</v>
          </cell>
        </row>
        <row r="25">
          <cell r="B25" t="str">
            <v>БОЙКО ТЕТЯНА ВІТАЛІЇВНА</v>
          </cell>
          <cell r="C25" t="str">
            <v>2718111924</v>
          </cell>
          <cell r="D25" t="str">
            <v>26250064723001</v>
          </cell>
        </row>
        <row r="26">
          <cell r="B26" t="str">
            <v>БОЙЧУК ТАРАС МИКОЛАЙОВИЧ</v>
          </cell>
          <cell r="C26" t="str">
            <v>2418203476</v>
          </cell>
          <cell r="D26" t="str">
            <v>26255085086001</v>
          </cell>
        </row>
        <row r="27">
          <cell r="B27" t="str">
            <v>БОНДАРЕНКО ВОЛОДИМИР ВАСИЛЬОВИЧ</v>
          </cell>
          <cell r="C27" t="str">
            <v>1868104835</v>
          </cell>
          <cell r="D27" t="str">
            <v>26255147689001</v>
          </cell>
        </row>
        <row r="28">
          <cell r="B28" t="str">
            <v>БОРИШКЕВИЧ ЛАРИСА МИХАЙЛІВНА</v>
          </cell>
          <cell r="C28" t="str">
            <v>2180505242</v>
          </cell>
          <cell r="D28" t="str">
            <v>26252189037001</v>
          </cell>
        </row>
        <row r="29">
          <cell r="B29" t="str">
            <v>БУДНІК НЕЛЯ ЛЕОНІДІВНА</v>
          </cell>
          <cell r="C29" t="str">
            <v>2231516248</v>
          </cell>
          <cell r="D29" t="str">
            <v>26255061572001</v>
          </cell>
        </row>
        <row r="30">
          <cell r="B30" t="str">
            <v>БУЛАВКА ЛЮДМИЛА ВАСИЛІВНА</v>
          </cell>
          <cell r="C30" t="str">
            <v>1975013494</v>
          </cell>
          <cell r="D30" t="str">
            <v>26258059967001</v>
          </cell>
        </row>
        <row r="31">
          <cell r="B31" t="str">
            <v>БУРЛАК ГАЛИНА ФЕДОРІВНА</v>
          </cell>
          <cell r="C31" t="str">
            <v>1730405584</v>
          </cell>
          <cell r="D31" t="str">
            <v>26250059288001</v>
          </cell>
        </row>
        <row r="32">
          <cell r="B32" t="str">
            <v>БУТИЛЬСЬКА НЕЛЯ ОЛЕКСАНДРІВНА</v>
          </cell>
          <cell r="C32" t="str">
            <v>2488514283</v>
          </cell>
          <cell r="D32" t="str">
            <v>26254126065001</v>
          </cell>
        </row>
        <row r="33">
          <cell r="B33" t="str">
            <v>ВАКУЛЕНКО ЛЮДМИЛА ЛЕОНІДІВНА</v>
          </cell>
          <cell r="C33" t="str">
            <v>2526105048</v>
          </cell>
          <cell r="D33" t="str">
            <v>26254059938001</v>
          </cell>
        </row>
        <row r="34">
          <cell r="B34" t="str">
            <v>ВАРФОЛОМЄЄВА ТЕТЯНА ОЛЕКСАНДРІВНА</v>
          </cell>
          <cell r="C34" t="str">
            <v>3041314682</v>
          </cell>
          <cell r="D34" t="str">
            <v>26253126066001</v>
          </cell>
        </row>
        <row r="35">
          <cell r="B35" t="str">
            <v>ВАСИЛИШИН РОМАН ЙОСИФОВИЧ</v>
          </cell>
          <cell r="C35" t="str">
            <v>2241416152</v>
          </cell>
          <cell r="D35" t="str">
            <v>26250135544001</v>
          </cell>
        </row>
        <row r="36">
          <cell r="B36" t="str">
            <v>ВАСЯНІН АНДРІЙ ОЛЕКСАНДРОВИЧ</v>
          </cell>
          <cell r="C36" t="str">
            <v>2234906574</v>
          </cell>
          <cell r="D36" t="str">
            <v>26252061564001</v>
          </cell>
        </row>
        <row r="37">
          <cell r="B37" t="str">
            <v>ВЕЛИЧКО ІРИНА МИКОЛАЇВНА</v>
          </cell>
          <cell r="C37" t="str">
            <v>2301407664</v>
          </cell>
          <cell r="D37" t="str">
            <v>26255063075001</v>
          </cell>
        </row>
        <row r="38">
          <cell r="B38" t="str">
            <v>ВЕРЗУН ТЕТЯНА ПЕТРІВНА</v>
          </cell>
          <cell r="C38" t="str">
            <v>2195307649</v>
          </cell>
          <cell r="D38" t="str">
            <v>26257063040001</v>
          </cell>
        </row>
        <row r="39">
          <cell r="B39" t="str">
            <v>ВЕСЕЛЬСЬКИЙ ВІКТОР ЛЕОНІДОВИЧ</v>
          </cell>
          <cell r="C39" t="str">
            <v>2075212634</v>
          </cell>
          <cell r="D39" t="str">
            <v>26254140449001</v>
          </cell>
        </row>
        <row r="40">
          <cell r="B40" t="str">
            <v>ВИДОЛОБ ТЕТЯНА ВАСИЛІВНА</v>
          </cell>
          <cell r="C40" t="str">
            <v>2071106642</v>
          </cell>
          <cell r="D40" t="str">
            <v>26254117676001</v>
          </cell>
        </row>
        <row r="41">
          <cell r="B41" t="str">
            <v>ВИШНЬОВА СВІТЛАНА МИХАЙЛІВНА</v>
          </cell>
          <cell r="C41" t="str">
            <v>1687404029</v>
          </cell>
          <cell r="D41" t="str">
            <v>26258063072001</v>
          </cell>
        </row>
        <row r="42">
          <cell r="B42" t="str">
            <v>ВОВК МАРІЯ ГРИГОРІВНА</v>
          </cell>
          <cell r="C42" t="str">
            <v>1847801241</v>
          </cell>
          <cell r="D42" t="str">
            <v>26252071026001</v>
          </cell>
        </row>
        <row r="43">
          <cell r="B43" t="str">
            <v>ВОВК РІТА ВОЛОДИМИРІВНА</v>
          </cell>
          <cell r="C43" t="str">
            <v>2334802047</v>
          </cell>
          <cell r="D43" t="str">
            <v>26256063041001</v>
          </cell>
        </row>
        <row r="44">
          <cell r="B44" t="str">
            <v>ВОЛІКОВ ВОЛОДИМИР ГЕННАДІЙОВИЧ</v>
          </cell>
          <cell r="C44" t="str">
            <v>2686317093</v>
          </cell>
          <cell r="D44" t="str">
            <v>26255059272001</v>
          </cell>
        </row>
        <row r="45">
          <cell r="B45" t="str">
            <v>ВОЛОДІНА ІРИНА АНАТОЛІЇВНА</v>
          </cell>
          <cell r="C45" t="str">
            <v>2521611641</v>
          </cell>
          <cell r="D45" t="str">
            <v>26251145317001</v>
          </cell>
        </row>
        <row r="46">
          <cell r="B46" t="str">
            <v>ВОЛОСОВЕЦЬ ІРИНА ПЕТРІВНА</v>
          </cell>
          <cell r="C46" t="str">
            <v>2672515006</v>
          </cell>
          <cell r="D46" t="str">
            <v>26250067667001</v>
          </cell>
        </row>
        <row r="47">
          <cell r="B47" t="str">
            <v>ВОЛОСОВЕЦЬ ОЛЕКСАНДР ПЕТРОВИЧ</v>
          </cell>
          <cell r="C47" t="str">
            <v>2254912892</v>
          </cell>
          <cell r="D47" t="str">
            <v>26258059279001</v>
          </cell>
        </row>
        <row r="48">
          <cell r="B48" t="str">
            <v>ВОРСОВСЬКА ЛЮДМИЛА АНАТОЛІЇВНА</v>
          </cell>
          <cell r="C48" t="str">
            <v>1858006406</v>
          </cell>
          <cell r="D48" t="str">
            <v>26255061561001</v>
          </cell>
        </row>
        <row r="49">
          <cell r="B49" t="str">
            <v>ГАБОРЕЦЬ ІВАН ВАСИЛЬОВИЧ</v>
          </cell>
          <cell r="C49" t="str">
            <v>2619902330</v>
          </cell>
          <cell r="D49" t="str">
            <v>26258130886001</v>
          </cell>
        </row>
        <row r="50">
          <cell r="B50" t="str">
            <v>ГАВРИЛЕНКО ЛІДІЯ ІЛЛІВНА</v>
          </cell>
          <cell r="C50" t="str">
            <v>1943407161</v>
          </cell>
          <cell r="D50" t="str">
            <v>26257063062001</v>
          </cell>
        </row>
        <row r="51">
          <cell r="B51" t="str">
            <v>ГАВРИЛЬЧЕНКО АНДРІЙ ВІТАЛІЙОВИЧ</v>
          </cell>
          <cell r="C51" t="str">
            <v>2852907156</v>
          </cell>
          <cell r="D51" t="str">
            <v>26252190543001</v>
          </cell>
        </row>
        <row r="52">
          <cell r="B52" t="str">
            <v>ГАЖАМАН ТЕТЯНА ОЛЕКСАНДРІВНА</v>
          </cell>
          <cell r="C52" t="str">
            <v>2433610745</v>
          </cell>
          <cell r="D52" t="str">
            <v>26251067666001</v>
          </cell>
        </row>
        <row r="53">
          <cell r="B53" t="str">
            <v>ГАЙДАЄВ ЮРІЙ ОЛЕКСАНДРОВИЧ</v>
          </cell>
          <cell r="C53" t="str">
            <v>1994917136</v>
          </cell>
          <cell r="D53" t="str">
            <v>26257143915001</v>
          </cell>
        </row>
        <row r="54">
          <cell r="B54" t="str">
            <v>ГАЛІМСЬКИЙ ОЛЕКСІЙ ВАЛЕРІЙОВИЧ</v>
          </cell>
          <cell r="C54" t="str">
            <v>2852708579</v>
          </cell>
          <cell r="D54" t="str">
            <v>26253117677001</v>
          </cell>
        </row>
        <row r="55">
          <cell r="B55" t="str">
            <v>ГАСЮК ГАЛИНА ІГОРІВНА</v>
          </cell>
          <cell r="C55" t="str">
            <v>2926018325</v>
          </cell>
          <cell r="D55" t="str">
            <v>26254102034001</v>
          </cell>
        </row>
        <row r="56">
          <cell r="B56" t="str">
            <v>ГЛОГОВ'ЯК ОЛЬГА ВАСИЛІВНА</v>
          </cell>
          <cell r="C56" t="str">
            <v>2141814768</v>
          </cell>
          <cell r="D56" t="str">
            <v>26255121393001</v>
          </cell>
        </row>
        <row r="57">
          <cell r="B57" t="str">
            <v>ГОНТА ТЕТЯНА МИКОЛАЇВНА</v>
          </cell>
          <cell r="C57" t="str">
            <v>2063620040</v>
          </cell>
          <cell r="D57" t="str">
            <v>26256061559001</v>
          </cell>
        </row>
        <row r="58">
          <cell r="B58" t="str">
            <v>ГОНЧАРУК ОЛЬГА БОРИСІВНА</v>
          </cell>
          <cell r="C58" t="str">
            <v>2237204207</v>
          </cell>
          <cell r="D58" t="str">
            <v>26259063060001</v>
          </cell>
        </row>
        <row r="59">
          <cell r="B59" t="str">
            <v>ГОРБАНЬ ЄВГЕН МИКОЛАЙОВИЧ</v>
          </cell>
          <cell r="C59" t="str">
            <v>1638702958</v>
          </cell>
          <cell r="D59" t="str">
            <v>26256067661001</v>
          </cell>
        </row>
        <row r="60">
          <cell r="B60" t="str">
            <v>ГОСТИЩЕВ ДМИТРО АНАТОЛІЙОВИЧ</v>
          </cell>
          <cell r="C60" t="str">
            <v>2929219871</v>
          </cell>
          <cell r="D60" t="str">
            <v>26255074774001</v>
          </cell>
        </row>
        <row r="61">
          <cell r="B61" t="str">
            <v>ГРИГОРЕНКО АЛЛА АНАТОЛІЇВНА</v>
          </cell>
          <cell r="C61" t="str">
            <v>2192313023</v>
          </cell>
          <cell r="D61" t="str">
            <v>26250073877001</v>
          </cell>
        </row>
        <row r="62">
          <cell r="B62" t="str">
            <v>ГРИГОРОВИЧ ВАСИЛЬ РОМАНОВИЧ</v>
          </cell>
          <cell r="C62" t="str">
            <v>2078118438</v>
          </cell>
          <cell r="D62" t="str">
            <v>26257061570001</v>
          </cell>
        </row>
        <row r="63">
          <cell r="B63" t="str">
            <v>ГУСЕЛЕТОВА НАТАЛІЯ ВОЛОДИМИРІВНА</v>
          </cell>
          <cell r="C63" t="str">
            <v>1857415385</v>
          </cell>
          <cell r="D63" t="str">
            <v>26250074661001</v>
          </cell>
        </row>
        <row r="64">
          <cell r="B64" t="str">
            <v>ДАХНЮК ІРИНА ЄВГЕНІВНА</v>
          </cell>
          <cell r="C64" t="str">
            <v>2158103468</v>
          </cell>
          <cell r="D64" t="str">
            <v>26251059953001</v>
          </cell>
        </row>
        <row r="65">
          <cell r="B65" t="str">
            <v>ДЕГТЯРЕВА РАЇСА МИХАЙЛІВНА</v>
          </cell>
          <cell r="C65" t="str">
            <v>2213409742</v>
          </cell>
          <cell r="D65" t="str">
            <v>26257073881001</v>
          </cell>
        </row>
        <row r="66">
          <cell r="B66" t="str">
            <v>ДЕНИСЕНКО ГАЛИНА АНАТОЛІЇВНА</v>
          </cell>
          <cell r="C66" t="str">
            <v>2078116844</v>
          </cell>
          <cell r="D66" t="str">
            <v>26259061567001</v>
          </cell>
        </row>
        <row r="67">
          <cell r="B67" t="str">
            <v>ДЕРЕБАСОВ ОЛЕКСАНДР ВІКТОРОВИЧ</v>
          </cell>
          <cell r="C67" t="str">
            <v>2028318234</v>
          </cell>
          <cell r="D67" t="str">
            <v>26252107406001</v>
          </cell>
        </row>
        <row r="68">
          <cell r="B68" t="str">
            <v>ДЕРИБОН ОЛЕНА ЛЕОНІДІВНА</v>
          </cell>
          <cell r="C68" t="str">
            <v>2716220682</v>
          </cell>
          <cell r="D68" t="str">
            <v>26253081918001</v>
          </cell>
        </row>
        <row r="69">
          <cell r="B69" t="str">
            <v>ДЗЮБА ОЛЕКСАНДР МИКОЛАЙОВИЧ</v>
          </cell>
          <cell r="C69" t="str">
            <v>2081309555</v>
          </cell>
          <cell r="D69" t="str">
            <v>26251088388001</v>
          </cell>
        </row>
        <row r="70">
          <cell r="B70" t="str">
            <v>ДИШЛОВИЙ ІГОР МИКОЛАЙОВИЧ</v>
          </cell>
          <cell r="C70" t="str">
            <v>2241501857</v>
          </cell>
          <cell r="D70" t="str">
            <v>26258063083001</v>
          </cell>
        </row>
        <row r="71">
          <cell r="B71" t="str">
            <v>ДОЛОТ ВОЛОДИМИР ДЕНИСОВИЧ</v>
          </cell>
          <cell r="C71" t="str">
            <v>2162706458</v>
          </cell>
          <cell r="D71" t="str">
            <v>26250067656001</v>
          </cell>
        </row>
        <row r="72">
          <cell r="B72" t="str">
            <v>ДОМБРОВСЬКА ВАЛЕНТИНА ВАСИЛІВНА</v>
          </cell>
          <cell r="C72" t="str">
            <v>1934803161</v>
          </cell>
          <cell r="D72" t="str">
            <v>26252067654001</v>
          </cell>
        </row>
        <row r="73">
          <cell r="B73" t="str">
            <v>ДУШ ІРИНА АНДРІЇВНА</v>
          </cell>
          <cell r="C73" t="str">
            <v>2085109322</v>
          </cell>
          <cell r="D73" t="str">
            <v>26254063043001</v>
          </cell>
        </row>
        <row r="74">
          <cell r="B74" t="str">
            <v>ДЯК ЮЛІЯ МИХАЙЛІВНА</v>
          </cell>
          <cell r="C74" t="str">
            <v>2794417520</v>
          </cell>
          <cell r="D74" t="str">
            <v>26252121136001</v>
          </cell>
        </row>
        <row r="75">
          <cell r="B75" t="str">
            <v>ДЯЧЕНКО НАТАЛІЯ ВАСИЛІВНА</v>
          </cell>
          <cell r="C75" t="str">
            <v>2014707522</v>
          </cell>
          <cell r="D75" t="str">
            <v>26254063065001</v>
          </cell>
        </row>
        <row r="76">
          <cell r="B76" t="str">
            <v>ЄМЕЦЬ МАРІЯ АДАМІВНА</v>
          </cell>
          <cell r="C76" t="str">
            <v>1863703328</v>
          </cell>
          <cell r="D76" t="str">
            <v>26257059968001</v>
          </cell>
        </row>
        <row r="77">
          <cell r="B77" t="str">
            <v>ЄМЕЦЬ ПЕТРО ВОЛОДИМИРОВИЧ</v>
          </cell>
          <cell r="C77" t="str">
            <v>2966609017</v>
          </cell>
          <cell r="D77" t="str">
            <v>26251107407001</v>
          </cell>
        </row>
        <row r="78">
          <cell r="B78" t="str">
            <v>ЄФІМЕНКО ОЛЕНА ВОЛОДИМИРІВНА</v>
          </cell>
          <cell r="C78" t="str">
            <v>2313714666</v>
          </cell>
          <cell r="D78" t="str">
            <v>26252076515001</v>
          </cell>
        </row>
        <row r="79">
          <cell r="B79" t="str">
            <v>ЖАРОВА ДАР'Я ОЛЕКСАНДРІВНА</v>
          </cell>
          <cell r="C79" t="str">
            <v>2975612901</v>
          </cell>
          <cell r="D79" t="str">
            <v>26259151723001</v>
          </cell>
        </row>
        <row r="80">
          <cell r="B80" t="str">
            <v>ЖДАНОВА МИРОСЛАВА ПЕТРІВНА</v>
          </cell>
          <cell r="C80" t="str">
            <v>2006314467</v>
          </cell>
          <cell r="D80" t="str">
            <v>26259067668001</v>
          </cell>
        </row>
        <row r="81">
          <cell r="B81" t="str">
            <v>ЖИЛКА НАДІЯ ЯКІВНА</v>
          </cell>
          <cell r="C81" t="str">
            <v>2053307045</v>
          </cell>
          <cell r="D81" t="str">
            <v>26254059972001</v>
          </cell>
        </row>
        <row r="82">
          <cell r="B82" t="str">
            <v>ЖОВТУХА МИРОСЛАВА АНДРІЇВНА</v>
          </cell>
          <cell r="C82" t="str">
            <v>1916907201</v>
          </cell>
          <cell r="D82" t="str">
            <v>26254061562001</v>
          </cell>
        </row>
        <row r="83">
          <cell r="B83" t="str">
            <v>ЗАГОРОДНІЙ ВОЛОДИМИР ВАСИЛЬОВИЧ</v>
          </cell>
          <cell r="C83" t="str">
            <v>1818411071</v>
          </cell>
          <cell r="D83" t="str">
            <v>26253071274001</v>
          </cell>
        </row>
        <row r="84">
          <cell r="B84" t="str">
            <v>ЗАЛАТА ОЛЕГ АНАТОЛІЙОВИЧ</v>
          </cell>
          <cell r="C84" t="str">
            <v>2421701697</v>
          </cell>
          <cell r="D84" t="str">
            <v>26257071269001</v>
          </cell>
        </row>
        <row r="85">
          <cell r="B85" t="str">
            <v>ЗАЛЕВСЬКА ВАЛЕНТИНА АНАНІЇВНА</v>
          </cell>
          <cell r="C85" t="str">
            <v>2035915704</v>
          </cell>
          <cell r="D85" t="str">
            <v>26252063045001</v>
          </cell>
        </row>
        <row r="86">
          <cell r="B86" t="str">
            <v>ЗАЧЕК ЛЮБОВ МИКОЛАПВНА</v>
          </cell>
          <cell r="C86" t="str">
            <v>1917602520</v>
          </cell>
          <cell r="D86" t="str">
            <v>26255081916001</v>
          </cell>
        </row>
        <row r="87">
          <cell r="B87" t="str">
            <v>ЗЕЛІНСЬКИЙ АНДРІЙ МИКОЛАЙОВИЧ</v>
          </cell>
          <cell r="C87" t="str">
            <v>2983512293</v>
          </cell>
          <cell r="D87" t="str">
            <v>26252088495001</v>
          </cell>
        </row>
        <row r="88">
          <cell r="B88" t="str">
            <v>ЗІНКОВСЬКИЙ МИХАЙЛО ФРАНЦЕВИЧ</v>
          </cell>
          <cell r="C88" t="str">
            <v>1382810958</v>
          </cell>
          <cell r="D88" t="str">
            <v>26258074663001</v>
          </cell>
        </row>
        <row r="89">
          <cell r="B89" t="str">
            <v>ЗІНЧЕНКО ОЛЕНА МИКОЛАЇВНА</v>
          </cell>
          <cell r="C89" t="str">
            <v>2661000329</v>
          </cell>
          <cell r="D89" t="str">
            <v>26256143916001</v>
          </cell>
        </row>
        <row r="90">
          <cell r="B90" t="str">
            <v>ЗОЗУЛЯ ЛАРИСА МИКОЛАЇВНА</v>
          </cell>
          <cell r="C90" t="str">
            <v>1865503982</v>
          </cell>
          <cell r="D90" t="str">
            <v>26256059969001</v>
          </cell>
        </row>
        <row r="91">
          <cell r="B91" t="str">
            <v>ЗРЕЗАРЦЕВ МАКСИМ БОРИСОВИЧ</v>
          </cell>
          <cell r="C91" t="str">
            <v>2285403638</v>
          </cell>
          <cell r="D91" t="str">
            <v>26254071273001</v>
          </cell>
        </row>
        <row r="92">
          <cell r="B92" t="str">
            <v>ЗУБКО ОЛЕНА АНДРІЇВНА</v>
          </cell>
          <cell r="C92" t="str">
            <v>2074303764</v>
          </cell>
          <cell r="D92" t="str">
            <v>26254059284001</v>
          </cell>
        </row>
        <row r="93">
          <cell r="B93" t="str">
            <v>ІВАНКІВ РОМАН ІВАНОВИЧ</v>
          </cell>
          <cell r="C93" t="str">
            <v>2415509934</v>
          </cell>
          <cell r="D93" t="str">
            <v>26254059949001</v>
          </cell>
        </row>
        <row r="94">
          <cell r="B94" t="str">
            <v>ІВАСЮК ВАЛЕРІЙ ПЕТРОВИЧ</v>
          </cell>
          <cell r="C94" t="str">
            <v>2144106613</v>
          </cell>
          <cell r="D94" t="str">
            <v>26255145926001</v>
          </cell>
        </row>
        <row r="95">
          <cell r="B95" t="str">
            <v>ІВЧУК ВОЛОДИМИР ГРИГОРОВИЧ</v>
          </cell>
          <cell r="C95" t="str">
            <v>2567211612</v>
          </cell>
          <cell r="D95" t="str">
            <v>26257150362001</v>
          </cell>
        </row>
        <row r="96">
          <cell r="B96" t="str">
            <v>ІЛЯШОВА СВІТЛАНА ІВАНІВНА</v>
          </cell>
          <cell r="C96" t="str">
            <v>2328706865</v>
          </cell>
          <cell r="D96" t="str">
            <v>26258187260001</v>
          </cell>
        </row>
        <row r="97">
          <cell r="B97" t="str">
            <v>КАЛИТА ІРИНА АЛІМІВНА</v>
          </cell>
          <cell r="C97" t="str">
            <v>2500315681</v>
          </cell>
          <cell r="D97" t="str">
            <v>26257151855001</v>
          </cell>
        </row>
        <row r="98">
          <cell r="B98" t="str">
            <v>КАПУСТЯК ВАСИЛЬ ІВАНОВИЧ</v>
          </cell>
          <cell r="C98" t="str">
            <v>2406702858</v>
          </cell>
          <cell r="D98" t="str">
            <v>26254063054001</v>
          </cell>
        </row>
        <row r="99">
          <cell r="B99" t="str">
            <v>КАРАМУШКА ЛАРИСА ІЛЛІВНА</v>
          </cell>
          <cell r="C99" t="str">
            <v>2068808542</v>
          </cell>
          <cell r="D99" t="str">
            <v>26251073876001</v>
          </cell>
        </row>
        <row r="100">
          <cell r="B100" t="str">
            <v>КАРНАУХОВА ТЕТЯНА ВОЛОДИМИРІВНА</v>
          </cell>
          <cell r="C100" t="str">
            <v>2363205487</v>
          </cell>
          <cell r="D100" t="str">
            <v>26257063073001</v>
          </cell>
        </row>
        <row r="101">
          <cell r="B101" t="str">
            <v>КАРПІНСЬКА ЛЕСЯ ГРИГОРІВНА</v>
          </cell>
          <cell r="C101" t="str">
            <v>2162003168</v>
          </cell>
          <cell r="D101" t="str">
            <v>26253178478001</v>
          </cell>
        </row>
        <row r="102">
          <cell r="B102" t="str">
            <v>КАШТАЛЬЯН МАРИНА МИХАЙЛІВНА</v>
          </cell>
          <cell r="C102" t="str">
            <v>2884707265</v>
          </cell>
          <cell r="D102" t="str">
            <v>26251190544001</v>
          </cell>
        </row>
        <row r="103">
          <cell r="B103" t="str">
            <v>КВАРТИЧ ІРИНА МИКОЛАЇВНА</v>
          </cell>
          <cell r="C103" t="str">
            <v>2307613226</v>
          </cell>
          <cell r="D103" t="str">
            <v>26258063050001</v>
          </cell>
        </row>
        <row r="104">
          <cell r="B104" t="str">
            <v>КЕБКАЛО ТАМАРА ВАСИЛІВНА</v>
          </cell>
          <cell r="C104" t="str">
            <v>1716746302</v>
          </cell>
          <cell r="D104" t="str">
            <v>26258059280001</v>
          </cell>
        </row>
        <row r="105">
          <cell r="B105" t="str">
            <v>КІРІЧЕНКО НІНА СТЕПАНІВНА</v>
          </cell>
          <cell r="C105" t="str">
            <v>2039706585</v>
          </cell>
          <cell r="D105" t="str">
            <v>26256059970001</v>
          </cell>
        </row>
        <row r="106">
          <cell r="B106" t="str">
            <v>КІТУАШВІЛІ ЛАРИСА ІВАНІВНА</v>
          </cell>
          <cell r="C106" t="str">
            <v>2606618543</v>
          </cell>
          <cell r="D106" t="str">
            <v>26252117162001</v>
          </cell>
        </row>
        <row r="107">
          <cell r="B107" t="str">
            <v>КЛИМАК АНТОН АНАТОЛІЙОВИЧ</v>
          </cell>
          <cell r="C107" t="str">
            <v>3035803758</v>
          </cell>
          <cell r="D107" t="str">
            <v>26259128916001</v>
          </cell>
        </row>
        <row r="108">
          <cell r="B108" t="str">
            <v>КЛІШЕВИЧ ІГОР ПАВЛОВИЧ</v>
          </cell>
          <cell r="C108" t="str">
            <v>1735005176</v>
          </cell>
          <cell r="D108" t="str">
            <v>26256059958001</v>
          </cell>
        </row>
        <row r="109">
          <cell r="B109" t="str">
            <v>КЛОПЕНКО ГАННА ІВАНІВНА</v>
          </cell>
          <cell r="C109" t="str">
            <v>2385307208</v>
          </cell>
          <cell r="D109" t="str">
            <v>26250063058001</v>
          </cell>
        </row>
        <row r="110">
          <cell r="B110" t="str">
            <v>КЛОЧЕНКО ІГОР ВАСИЛЬОВИЧ</v>
          </cell>
          <cell r="C110" t="str">
            <v>2380210795</v>
          </cell>
          <cell r="D110" t="str">
            <v>26259145319001</v>
          </cell>
        </row>
        <row r="111">
          <cell r="B111" t="str">
            <v>КОВАЛЕНКО ОЛЬГА ФЕДОРІВНА</v>
          </cell>
          <cell r="C111" t="str">
            <v>2083514483</v>
          </cell>
          <cell r="D111" t="str">
            <v>26251061576001</v>
          </cell>
        </row>
        <row r="112">
          <cell r="B112" t="str">
            <v>КОВАЛЕНКО ТЕТЯНА ОЛЕКСАНДРІВНА</v>
          </cell>
          <cell r="C112" t="str">
            <v>1949307729</v>
          </cell>
          <cell r="D112" t="str">
            <v>26256059271001</v>
          </cell>
        </row>
        <row r="113">
          <cell r="B113" t="str">
            <v>КОВАЛЬСЬКА НАТАЛІЯ ВОЛОДИМИРІВНА</v>
          </cell>
          <cell r="C113" t="str">
            <v>2832401764</v>
          </cell>
          <cell r="D113" t="str">
            <v>26259063071001</v>
          </cell>
        </row>
        <row r="114">
          <cell r="B114" t="str">
            <v>КОВАЛЬЧУК ГАЛИНА СЕМЕНІВНА</v>
          </cell>
          <cell r="C114" t="str">
            <v>1719006743</v>
          </cell>
          <cell r="D114" t="str">
            <v>26252059286001</v>
          </cell>
        </row>
        <row r="115">
          <cell r="B115" t="str">
            <v>КОВАЛЬЧУК МАРІЯ ВАСИЛІВНА</v>
          </cell>
          <cell r="C115" t="str">
            <v>2351306148</v>
          </cell>
          <cell r="D115" t="str">
            <v>26255063064001</v>
          </cell>
        </row>
        <row r="116">
          <cell r="B116" t="str">
            <v>КОВАЛЬЧУК ОЛЕКСАНДР ПЕТРОВИЧ</v>
          </cell>
          <cell r="C116" t="str">
            <v>2851620973</v>
          </cell>
          <cell r="D116" t="str">
            <v>26259088391001</v>
          </cell>
        </row>
        <row r="117">
          <cell r="B117" t="str">
            <v>КОГУТ ОКСАНА ПАВЛІВНА</v>
          </cell>
          <cell r="C117" t="str">
            <v>2236318508</v>
          </cell>
          <cell r="D117" t="str">
            <v>26254067663001</v>
          </cell>
        </row>
        <row r="118">
          <cell r="B118" t="str">
            <v>КОЛЕСНИК СВІТЛАНА ІВАНІВНА</v>
          </cell>
          <cell r="C118" t="str">
            <v>2662017548</v>
          </cell>
          <cell r="D118" t="str">
            <v>26259063059001</v>
          </cell>
        </row>
        <row r="119">
          <cell r="B119" t="str">
            <v>КОЛЛЯКОВ РОМАН ОЛЕКСІЙОВИЧ</v>
          </cell>
          <cell r="C119" t="str">
            <v>2908909577</v>
          </cell>
          <cell r="D119" t="str">
            <v>26252189714001</v>
          </cell>
        </row>
        <row r="120">
          <cell r="B120" t="str">
            <v>КОЛЛЯКОВА ОЛЬГА МИХАЙЛІВНА</v>
          </cell>
          <cell r="C120" t="str">
            <v>2008011805</v>
          </cell>
          <cell r="D120" t="str">
            <v>26258067658001</v>
          </cell>
        </row>
        <row r="121">
          <cell r="B121" t="str">
            <v>КОМАНДИШКО ОЛЕГ УСТИНОВИЧ</v>
          </cell>
          <cell r="C121" t="str">
            <v>1796103553</v>
          </cell>
          <cell r="D121" t="str">
            <v>26253076514001</v>
          </cell>
        </row>
        <row r="122">
          <cell r="B122" t="str">
            <v>КОМАРОВ МИХАЙЛО ПЕТРОВИЧ</v>
          </cell>
          <cell r="C122" t="str">
            <v>2350402810</v>
          </cell>
          <cell r="D122" t="str">
            <v>26251067655001</v>
          </cell>
        </row>
        <row r="123">
          <cell r="B123" t="str">
            <v>КОНДРАШОВА ЮЛІЯ ЮРІЇВНА</v>
          </cell>
          <cell r="C123" t="str">
            <v>3014716961</v>
          </cell>
          <cell r="D123" t="str">
            <v>26258100098001</v>
          </cell>
        </row>
        <row r="124">
          <cell r="B124" t="str">
            <v>КОНОНЕНКО ХРИСТИНА ВІКТОРІВНА</v>
          </cell>
          <cell r="C124" t="str">
            <v>3017117601</v>
          </cell>
          <cell r="D124" t="str">
            <v>26254081917001</v>
          </cell>
        </row>
        <row r="125">
          <cell r="B125" t="str">
            <v>КОНОПЕЛЬКО ОЛЕНА ГЕОРГІЇВНА</v>
          </cell>
          <cell r="C125" t="str">
            <v>2381603245</v>
          </cell>
          <cell r="D125" t="str">
            <v>26258118701001</v>
          </cell>
        </row>
        <row r="126">
          <cell r="B126" t="str">
            <v>КОРНІЄНКО МИКОЛА МИКОЛАЙОВИЧ</v>
          </cell>
          <cell r="C126" t="str">
            <v>1958602213</v>
          </cell>
          <cell r="D126" t="str">
            <v>26257071270001</v>
          </cell>
        </row>
        <row r="127">
          <cell r="B127" t="str">
            <v>КОРОЛЬ АНДРІЙ ОЛЕКСІЙОВИЧ</v>
          </cell>
          <cell r="C127" t="str">
            <v>2350203110</v>
          </cell>
          <cell r="D127" t="str">
            <v>26259116713001</v>
          </cell>
        </row>
        <row r="128">
          <cell r="B128" t="str">
            <v>КОРОЛЬ ОЛЕНА ВОЛОДИМИРІВНА</v>
          </cell>
          <cell r="C128" t="str">
            <v>2885600968</v>
          </cell>
          <cell r="D128" t="str">
            <v>26254181442001</v>
          </cell>
        </row>
        <row r="129">
          <cell r="B129" t="str">
            <v>КОСИНСЬКА НАТАЛІЯ РОСТИСЛАВІВНА</v>
          </cell>
          <cell r="C129" t="str">
            <v>2806106903</v>
          </cell>
          <cell r="D129" t="str">
            <v>26252128968001</v>
          </cell>
        </row>
        <row r="130">
          <cell r="B130" t="str">
            <v>КОСТЮЧЕНКО НІНА МИКОЛАЇВНА</v>
          </cell>
          <cell r="C130" t="str">
            <v>2666010687</v>
          </cell>
          <cell r="D130" t="str">
            <v>26252059963001</v>
          </cell>
        </row>
        <row r="131">
          <cell r="B131" t="str">
            <v>КОЧЕТ ОЛЕКСАНДР МИХАЙЛОВИЧ</v>
          </cell>
          <cell r="C131" t="str">
            <v>2095713903</v>
          </cell>
          <cell r="D131" t="str">
            <v>26251135543001</v>
          </cell>
        </row>
        <row r="132">
          <cell r="B132" t="str">
            <v>КРАВЧЕНКО ВОЛОДИМИР</v>
          </cell>
          <cell r="C132" t="str">
            <v>2018910237</v>
          </cell>
          <cell r="D132" t="str">
            <v>26258067647001</v>
          </cell>
        </row>
        <row r="133">
          <cell r="B133" t="str">
            <v>КРАМСЬКА НАТАЛІЯ МИКОЛАЇВНА</v>
          </cell>
          <cell r="C133" t="str">
            <v>2001115889</v>
          </cell>
          <cell r="D133" t="str">
            <v>26251063068001</v>
          </cell>
        </row>
        <row r="134">
          <cell r="B134" t="str">
            <v>КРАСНОЖОН ЛЮДМИЛА МИКОЛАЇВНА</v>
          </cell>
          <cell r="C134" t="str">
            <v>1967803341</v>
          </cell>
          <cell r="D134" t="str">
            <v>26259059278001</v>
          </cell>
        </row>
        <row r="135">
          <cell r="B135" t="str">
            <v>КРАСНОЩОК АНДРІЙ ІВАНОВИЧ</v>
          </cell>
          <cell r="C135" t="str">
            <v>2559815398</v>
          </cell>
          <cell r="D135" t="str">
            <v>26252059275001</v>
          </cell>
        </row>
        <row r="136">
          <cell r="B136" t="str">
            <v>КРИВЕНКО ЛЮДМИЛА ЛЕОНІДІВНА</v>
          </cell>
          <cell r="C136" t="str">
            <v>1953111906</v>
          </cell>
          <cell r="D136" t="str">
            <v>26250063069001</v>
          </cell>
        </row>
        <row r="137">
          <cell r="B137" t="str">
            <v>КРОХМАЛЮК ЛЮБОМИР ВАЛЕРІЙОВИЧ</v>
          </cell>
          <cell r="C137" t="str">
            <v>2927211076</v>
          </cell>
          <cell r="D137" t="str">
            <v>26259145320001</v>
          </cell>
        </row>
        <row r="138">
          <cell r="B138" t="str">
            <v>КРУТІКОВ ДМИТРО СЕРГІЙОВИЧ</v>
          </cell>
          <cell r="C138" t="str">
            <v>2878100390</v>
          </cell>
          <cell r="D138" t="str">
            <v>26257187261001</v>
          </cell>
        </row>
        <row r="139">
          <cell r="B139" t="str">
            <v>КУДЛАЙ ОЛЬГА ПИЛИПІВНА</v>
          </cell>
          <cell r="C139" t="str">
            <v>1835916103</v>
          </cell>
          <cell r="D139" t="str">
            <v>26251071027001</v>
          </cell>
        </row>
        <row r="140">
          <cell r="B140" t="str">
            <v>КУЗИМЧАК ТЕТЯНА ВОЛОДИМИРІВНА</v>
          </cell>
          <cell r="C140" t="str">
            <v>2900522147</v>
          </cell>
          <cell r="D140" t="str">
            <v>26255121133001</v>
          </cell>
        </row>
        <row r="141">
          <cell r="B141" t="str">
            <v>КУЛАКОВСЬКА ОЛЕНА ЮРІЇВНА</v>
          </cell>
          <cell r="C141" t="str">
            <v>2341306060</v>
          </cell>
          <cell r="D141" t="str">
            <v>26255151006001</v>
          </cell>
        </row>
        <row r="142">
          <cell r="B142" t="str">
            <v>КУХАРЧУК НАТАЛІЯ СЕРГІЇВНА</v>
          </cell>
          <cell r="C142" t="str">
            <v>2952114623</v>
          </cell>
          <cell r="D142" t="str">
            <v>26250185839001</v>
          </cell>
        </row>
        <row r="143">
          <cell r="B143" t="str">
            <v>ЛАВРОНЕНКО ІРИНА ВОЛОДИМИРІВНА</v>
          </cell>
          <cell r="C143" t="str">
            <v>2324903804</v>
          </cell>
          <cell r="D143" t="str">
            <v>26252063078001</v>
          </cell>
        </row>
        <row r="144">
          <cell r="B144" t="str">
            <v>ЛАПЕНКО ТЕТЯНА АНДРІЇВНА</v>
          </cell>
          <cell r="C144" t="str">
            <v>1394202900</v>
          </cell>
          <cell r="D144" t="str">
            <v>26256076511001</v>
          </cell>
        </row>
        <row r="145">
          <cell r="B145" t="str">
            <v>ЛАПУШЕНКО ОЛЬГА ВАСИЛІВНА</v>
          </cell>
          <cell r="C145" t="str">
            <v>2032107106</v>
          </cell>
          <cell r="D145" t="str">
            <v>26250072674001</v>
          </cell>
        </row>
        <row r="146">
          <cell r="B146" t="str">
            <v>ЛЕВІНА АНТОНІНА ЛУКІВНА</v>
          </cell>
          <cell r="C146" t="str">
            <v>2342406049</v>
          </cell>
          <cell r="D146" t="str">
            <v>26255147690001</v>
          </cell>
        </row>
        <row r="147">
          <cell r="B147" t="str">
            <v>ЛЕВЧЕНКО ЮЛІЯ ВОЛОДИМИРІВНА</v>
          </cell>
          <cell r="C147" t="str">
            <v>2518913886</v>
          </cell>
          <cell r="D147" t="str">
            <v>26256081915001</v>
          </cell>
        </row>
        <row r="148">
          <cell r="B148" t="str">
            <v>ЛИХОТОП РОСТИСЛАВ ЙОСИПОВИЧ</v>
          </cell>
          <cell r="C148" t="str">
            <v>2112512458</v>
          </cell>
          <cell r="D148" t="str">
            <v>26250059943001</v>
          </cell>
        </row>
        <row r="149">
          <cell r="B149" t="str">
            <v>ЛОЄНКО ЄВГЕН ОЛЕКСАНДРОВИЧ</v>
          </cell>
          <cell r="C149" t="str">
            <v>2726509592</v>
          </cell>
          <cell r="D149" t="str">
            <v>26250145318001</v>
          </cell>
        </row>
        <row r="150">
          <cell r="B150" t="str">
            <v>ЛОЙ ВАЛЕНТИНА МИКОЛАЇВНА</v>
          </cell>
          <cell r="C150" t="str">
            <v>2429014449</v>
          </cell>
          <cell r="D150" t="str">
            <v>26258187259001</v>
          </cell>
        </row>
        <row r="151">
          <cell r="B151" t="str">
            <v>ЛУЗАН ВАЛЕНТИНА ІВАНІВНА</v>
          </cell>
          <cell r="C151" t="str">
            <v>2079906004</v>
          </cell>
          <cell r="D151" t="str">
            <v>26258063061001</v>
          </cell>
        </row>
        <row r="152">
          <cell r="B152" t="str">
            <v>ЛУКАНЬОВ ЛЕОНІД ГЕННАДІЙОВИЧ</v>
          </cell>
          <cell r="C152" t="str">
            <v>2435409313</v>
          </cell>
          <cell r="D152" t="str">
            <v>26253189713001</v>
          </cell>
        </row>
        <row r="153">
          <cell r="B153" t="str">
            <v>ЛУПЕЙ-ТКАЧ СВІТЛАНА ІВАНІВНА</v>
          </cell>
          <cell r="C153" t="str">
            <v>2700417601</v>
          </cell>
          <cell r="D153" t="str">
            <v>26254067652001</v>
          </cell>
        </row>
        <row r="154">
          <cell r="B154" t="str">
            <v>ЛЮТОВА НАТАЛІЯ ВОЛОДИМИРІВНА</v>
          </cell>
          <cell r="C154" t="str">
            <v>1988017544</v>
          </cell>
          <cell r="D154" t="str">
            <v>26256063085001</v>
          </cell>
        </row>
        <row r="155">
          <cell r="B155" t="str">
            <v>МАЖАК ІРИНА МИХАЙЛІВНА</v>
          </cell>
          <cell r="C155" t="str">
            <v>2819012968</v>
          </cell>
          <cell r="D155" t="str">
            <v>26253059940001</v>
          </cell>
        </row>
        <row r="156">
          <cell r="B156" t="str">
            <v>МАНДУЛА РОМАН МИХАЙЛОВИЧ</v>
          </cell>
          <cell r="C156" t="str">
            <v>2904920152</v>
          </cell>
          <cell r="D156" t="str">
            <v>26250088389001</v>
          </cell>
        </row>
        <row r="157">
          <cell r="B157" t="str">
            <v>МАРМОРОШ ІГОР ВІКТОРОВИЧ</v>
          </cell>
          <cell r="C157" t="str">
            <v>2808403136</v>
          </cell>
          <cell r="D157" t="str">
            <v>26250125800001</v>
          </cell>
        </row>
        <row r="158">
          <cell r="B158" t="str">
            <v>МАРУНИЧ ВОЛОДИМИР ВАСИЛЬОВИЧ</v>
          </cell>
          <cell r="C158" t="str">
            <v>1776907370</v>
          </cell>
          <cell r="D158" t="str">
            <v>26252064721001</v>
          </cell>
        </row>
        <row r="159">
          <cell r="B159" t="str">
            <v>МАРЧЕНКО ВАЛЕНТИНА ОЛЕКСАНДРІВНА</v>
          </cell>
          <cell r="C159" t="str">
            <v>2305215164</v>
          </cell>
          <cell r="D159" t="str">
            <v>26250101976001</v>
          </cell>
        </row>
        <row r="160">
          <cell r="B160" t="str">
            <v>МАХНЮК ВАЛЕНТИНА МИХАЙЛІВНА</v>
          </cell>
          <cell r="C160" t="str">
            <v>2459304724</v>
          </cell>
          <cell r="D160" t="str">
            <v>26258059268001</v>
          </cell>
        </row>
        <row r="161">
          <cell r="B161" t="str">
            <v>МЕЛЬНИК ЮРІЙ ВІКТОРОВИЧ</v>
          </cell>
          <cell r="C161" t="str">
            <v>1619612054</v>
          </cell>
          <cell r="D161" t="str">
            <v>26252067665001</v>
          </cell>
        </row>
        <row r="162">
          <cell r="B162" t="str">
            <v>МЕНЬШИКОВА ІРИНА ОЛЕКСАНДРІВНА</v>
          </cell>
          <cell r="C162" t="str">
            <v>1775210489</v>
          </cell>
          <cell r="D162" t="str">
            <v>26251063057001</v>
          </cell>
        </row>
        <row r="163">
          <cell r="B163" t="str">
            <v>МИРОШНИЧЕНКО ВІКТОР ВОЛОДИМИРОВИЧ</v>
          </cell>
          <cell r="C163" t="str">
            <v>2757613350</v>
          </cell>
          <cell r="D163" t="str">
            <v>26255148291001</v>
          </cell>
        </row>
        <row r="164">
          <cell r="B164" t="str">
            <v>МИХАЛЬЧУК ВАСИЛЬ</v>
          </cell>
          <cell r="C164" t="str">
            <v>1961203615</v>
          </cell>
          <cell r="D164" t="str">
            <v>26257067648001</v>
          </cell>
        </row>
        <row r="165">
          <cell r="B165" t="str">
            <v>МИШКОВСЬКА АНТОНІНА АНДРІЇВНА</v>
          </cell>
          <cell r="C165" t="str">
            <v>2264114004</v>
          </cell>
          <cell r="D165" t="str">
            <v>26255059960001</v>
          </cell>
        </row>
        <row r="166">
          <cell r="B166" t="str">
            <v>МІРОШНІЧЕНКО ВІРА ЛЕОНІДІВНА</v>
          </cell>
          <cell r="C166" t="str">
            <v>2174417823</v>
          </cell>
          <cell r="D166" t="str">
            <v>26256063074001</v>
          </cell>
        </row>
        <row r="167">
          <cell r="B167" t="str">
            <v>МОІСЕЄНКО РАЇСА ОЛЕКСАНДРІВНА</v>
          </cell>
          <cell r="C167" t="str">
            <v>2335806848</v>
          </cell>
          <cell r="D167" t="str">
            <v>26250059954001</v>
          </cell>
        </row>
        <row r="168">
          <cell r="B168" t="str">
            <v>МОРАЧОВ ОЛЕКСАНДР ВОЛОДИМИРОВИЧ</v>
          </cell>
          <cell r="C168" t="str">
            <v>2607606531</v>
          </cell>
          <cell r="D168" t="str">
            <v>26254121134001</v>
          </cell>
        </row>
        <row r="169">
          <cell r="B169" t="str">
            <v>МОРОЗ НАТАЛІЯ АДАМІВНА</v>
          </cell>
          <cell r="C169" t="str">
            <v>2014207886</v>
          </cell>
          <cell r="D169" t="str">
            <v>26254063076001</v>
          </cell>
        </row>
        <row r="170">
          <cell r="B170" t="str">
            <v>МОРОЗ ТЕТЯНА ЮРІЇВНА</v>
          </cell>
          <cell r="C170" t="str">
            <v>2674208061</v>
          </cell>
          <cell r="D170" t="str">
            <v>26252185398001</v>
          </cell>
        </row>
        <row r="171">
          <cell r="B171" t="str">
            <v>МОТЮК МИРОСЛАВ ПАВЛОВИЧ</v>
          </cell>
          <cell r="C171" t="str">
            <v>1841408551</v>
          </cell>
          <cell r="D171" t="str">
            <v>26259059290001</v>
          </cell>
        </row>
        <row r="172">
          <cell r="B172" t="str">
            <v>МУРАВСЬКА ІННА ПЕТРІВНА</v>
          </cell>
          <cell r="C172" t="str">
            <v>2574009046</v>
          </cell>
          <cell r="D172" t="str">
            <v>26250128915001</v>
          </cell>
        </row>
        <row r="173">
          <cell r="B173" t="str">
            <v>МУРАШКОВСЬКА ОЛЕНА СЕМЕНІВНА</v>
          </cell>
          <cell r="C173" t="str">
            <v>2983510302</v>
          </cell>
          <cell r="D173" t="str">
            <v>26254059273001</v>
          </cell>
        </row>
        <row r="174">
          <cell r="B174" t="str">
            <v>МУХАРСЬКА ЛЮДМИЛА МИРОСЛАВІВНА</v>
          </cell>
          <cell r="C174" t="str">
            <v>2077406665</v>
          </cell>
          <cell r="D174" t="str">
            <v>26252059952001</v>
          </cell>
        </row>
        <row r="175">
          <cell r="B175" t="str">
            <v>НАДУТИЙ КОСТЯНТИН ОЛЕКСАНДРОВИЧ</v>
          </cell>
          <cell r="C175" t="str">
            <v>2097712978</v>
          </cell>
          <cell r="D175" t="str">
            <v>26250128971001</v>
          </cell>
        </row>
        <row r="176">
          <cell r="B176" t="str">
            <v>НЕСТЕРЧУК МИХАЙЛО МИТРОФАНОВИЧ</v>
          </cell>
          <cell r="C176" t="str">
            <v>2250200434</v>
          </cell>
          <cell r="D176" t="str">
            <v>26255079092001</v>
          </cell>
        </row>
        <row r="177">
          <cell r="B177" t="str">
            <v>НЮХІНА ПОЛІНА ОЛЕКСАНДРІВНА</v>
          </cell>
          <cell r="C177" t="str">
            <v>3038118144</v>
          </cell>
          <cell r="D177" t="str">
            <v>26253121135001</v>
          </cell>
        </row>
        <row r="178">
          <cell r="B178" t="str">
            <v>ОЛІЙНИК НАДІЯ АРТЕМІВНА</v>
          </cell>
          <cell r="C178" t="str">
            <v>1829422345</v>
          </cell>
          <cell r="D178" t="str">
            <v>26259059267001</v>
          </cell>
        </row>
        <row r="179">
          <cell r="B179" t="str">
            <v>ОМЕЛЬЧУК СВІТЛАНА АНАТОЛІЇВНА</v>
          </cell>
          <cell r="C179" t="str">
            <v>2290304120</v>
          </cell>
          <cell r="D179" t="str">
            <v>26259059289001</v>
          </cell>
        </row>
        <row r="180">
          <cell r="B180" t="str">
            <v>ОНИЩУК ІРИНА ВІКТОРІВНА</v>
          </cell>
          <cell r="C180" t="str">
            <v>2856819306</v>
          </cell>
          <cell r="D180" t="str">
            <v>26255059948001</v>
          </cell>
        </row>
        <row r="181">
          <cell r="B181" t="str">
            <v>ОПЕРОВЕЦЬ СЕРГІЙ ВОЛОДИМИРОВИЧ</v>
          </cell>
          <cell r="C181" t="str">
            <v>2571708031</v>
          </cell>
          <cell r="D181" t="str">
            <v>26256059947001</v>
          </cell>
        </row>
        <row r="182">
          <cell r="B182" t="str">
            <v>ОСТАШКО СВІТЛАНА ІВАНІВНА</v>
          </cell>
          <cell r="C182" t="str">
            <v>2510404501</v>
          </cell>
          <cell r="D182" t="str">
            <v>26257076510001</v>
          </cell>
        </row>
        <row r="183">
          <cell r="B183" t="str">
            <v>ОСТРОПОЛЕЦЬ НАТАЛIЯ АНДРIЄВНА</v>
          </cell>
          <cell r="C183" t="str">
            <v>2171214720</v>
          </cell>
          <cell r="D183" t="str">
            <v>26254148991001</v>
          </cell>
        </row>
        <row r="184">
          <cell r="B184" t="str">
            <v>ПIНЧУК ВЯЧЕСЛАВ СТАНIСЛАВОВИЧ</v>
          </cell>
          <cell r="C184" t="str">
            <v>2602011176</v>
          </cell>
          <cell r="D184" t="str">
            <v>26250088390001</v>
          </cell>
        </row>
        <row r="185">
          <cell r="B185" t="str">
            <v>ПАВЕЛКО НЕЛІ ЮРІЇВНА</v>
          </cell>
          <cell r="C185" t="str">
            <v>2261216983</v>
          </cell>
          <cell r="D185" t="str">
            <v>26259145836001</v>
          </cell>
        </row>
        <row r="186">
          <cell r="B186" t="str">
            <v>ПАВЛЕНКО ВІРА ФЕДОРІВНА</v>
          </cell>
          <cell r="C186" t="str">
            <v>2023906786</v>
          </cell>
          <cell r="D186" t="str">
            <v>26251063046001</v>
          </cell>
        </row>
        <row r="187">
          <cell r="B187" t="str">
            <v>ПАВЛОВСЬКА НАДІЯ МИХАЙЛІВНА</v>
          </cell>
          <cell r="C187" t="str">
            <v>1417102845</v>
          </cell>
          <cell r="D187" t="str">
            <v>26259063048001</v>
          </cell>
        </row>
        <row r="188">
          <cell r="B188" t="str">
            <v>ПАВЛЮК ІННА ІВАНІВНА</v>
          </cell>
          <cell r="C188" t="str">
            <v>2996908106</v>
          </cell>
          <cell r="D188" t="str">
            <v>26257129241001</v>
          </cell>
        </row>
        <row r="189">
          <cell r="B189" t="str">
            <v>ПАДЧЕНКО АНАТОЛІЙ ГРИГОРОВИЧ</v>
          </cell>
          <cell r="C189" t="str">
            <v>1942916455</v>
          </cell>
          <cell r="D189" t="str">
            <v>26259059966001</v>
          </cell>
        </row>
        <row r="190">
          <cell r="B190" t="str">
            <v>ПАНЧЕНКО ВАЛЕНТИНА СТЕПАНІВНА</v>
          </cell>
          <cell r="C190" t="str">
            <v>1811519368</v>
          </cell>
          <cell r="D190" t="str">
            <v>26255059959001</v>
          </cell>
        </row>
        <row r="191">
          <cell r="B191" t="str">
            <v>ПАРАЩУК ЛЕСЯ ВАСИЛІВНА</v>
          </cell>
          <cell r="C191" t="str">
            <v>2847208148</v>
          </cell>
          <cell r="D191" t="str">
            <v>26253079094001</v>
          </cell>
        </row>
        <row r="192">
          <cell r="B192" t="str">
            <v>ПАРУБЕЦЬ ЄВГЕН ПЕТРОВИЧ</v>
          </cell>
          <cell r="C192" t="str">
            <v>2934917010</v>
          </cell>
          <cell r="D192" t="str">
            <v>26255121218001</v>
          </cell>
        </row>
        <row r="193">
          <cell r="B193" t="str">
            <v>ПАРХОМЕНКО ВІРА МИКОЛАЇВНА</v>
          </cell>
          <cell r="C193" t="str">
            <v>1827609326</v>
          </cell>
          <cell r="D193" t="str">
            <v>26253063077001</v>
          </cell>
        </row>
        <row r="194">
          <cell r="B194" t="str">
            <v>ПАСІЧНИК МИХАЙЛО ФРАНЦОВИЧ</v>
          </cell>
          <cell r="C194" t="str">
            <v>2301121934</v>
          </cell>
          <cell r="D194" t="str">
            <v>26251074659001</v>
          </cell>
        </row>
        <row r="195">
          <cell r="B195" t="str">
            <v>ПЕДАН ВАЛЕНТИНА БОРИСІВНА</v>
          </cell>
          <cell r="C195" t="str">
            <v>1899413869</v>
          </cell>
          <cell r="D195" t="str">
            <v>26253059973001</v>
          </cell>
        </row>
        <row r="196">
          <cell r="B196" t="str">
            <v>ПЕДЧЕНКО ТИМУР ВІКТОРОВИЧ</v>
          </cell>
          <cell r="C196" t="str">
            <v>2416201354</v>
          </cell>
          <cell r="D196" t="str">
            <v>26256061571001</v>
          </cell>
        </row>
        <row r="197">
          <cell r="B197" t="str">
            <v>ПЕРЕКОПАЙКО МИКОЛА ВАСИЛЬВИЧ</v>
          </cell>
          <cell r="C197" t="str">
            <v>2087209374</v>
          </cell>
          <cell r="D197" t="str">
            <v>26250140164001</v>
          </cell>
        </row>
        <row r="198">
          <cell r="B198" t="str">
            <v>ПЕТРАШЕНКО ПЕТРО РОМАНОВИЧ</v>
          </cell>
          <cell r="C198" t="str">
            <v>1809006898</v>
          </cell>
          <cell r="D198" t="str">
            <v>26255067662001</v>
          </cell>
        </row>
        <row r="199">
          <cell r="B199" t="str">
            <v>ПЕТРОВА КАТЕРИНА ІВАНІВНА</v>
          </cell>
          <cell r="C199" t="str">
            <v>2431712940</v>
          </cell>
          <cell r="D199" t="str">
            <v>26255117675001</v>
          </cell>
        </row>
        <row r="200">
          <cell r="B200" t="str">
            <v>ПЕТРУК ДМИТРО АНАТОЛІЙОВИЧ</v>
          </cell>
          <cell r="C200" t="str">
            <v>2070506374</v>
          </cell>
          <cell r="D200" t="str">
            <v>26251059287001</v>
          </cell>
        </row>
        <row r="201">
          <cell r="B201" t="str">
            <v>ПІДАЄВ АНДРІЙ ВОЛОДИМИРОВИЧ</v>
          </cell>
          <cell r="C201" t="str">
            <v>2252712139</v>
          </cell>
          <cell r="D201" t="str">
            <v>26250072673002</v>
          </cell>
        </row>
        <row r="202">
          <cell r="B202" t="str">
            <v>ПІДАЄВ АНДРІЙ ВОЛОДИМИРОВИЧ</v>
          </cell>
          <cell r="C202" t="str">
            <v>2252712139</v>
          </cell>
          <cell r="D202" t="str">
            <v>26251072673001</v>
          </cell>
        </row>
        <row r="203">
          <cell r="B203" t="str">
            <v>ПІДГОРНА ЛЮДМИЛА МИХАЙЛІВНА</v>
          </cell>
          <cell r="C203" t="str">
            <v>2142607960</v>
          </cell>
          <cell r="D203" t="str">
            <v>26258061579001</v>
          </cell>
        </row>
        <row r="204">
          <cell r="B204" t="str">
            <v>ПЛАТОВ СЕРГІЙ МИХАЙЛОВИЧ</v>
          </cell>
          <cell r="C204" t="str">
            <v>2256303691</v>
          </cell>
          <cell r="D204" t="str">
            <v>26251182875001</v>
          </cell>
        </row>
        <row r="205">
          <cell r="B205" t="str">
            <v>ПОДРУШНЯК ВАЛЕНТИНА БОРИСІВНА</v>
          </cell>
          <cell r="C205" t="str">
            <v>1862402646</v>
          </cell>
          <cell r="D205" t="str">
            <v>26257059281001</v>
          </cell>
        </row>
        <row r="206">
          <cell r="B206" t="str">
            <v>ПОЛИВАНИЙ АРТЕМ ІВАНОВИЧ</v>
          </cell>
          <cell r="C206" t="str">
            <v>2970218332</v>
          </cell>
          <cell r="D206" t="str">
            <v>26257119819001</v>
          </cell>
        </row>
        <row r="207">
          <cell r="B207" t="str">
            <v>ПОЛІЩУК КАТЕРИНА ВАСИЛІВНА</v>
          </cell>
          <cell r="C207" t="str">
            <v>2152506284</v>
          </cell>
          <cell r="D207" t="str">
            <v>26252063067001</v>
          </cell>
        </row>
        <row r="208">
          <cell r="B208" t="str">
            <v>ПОЛІЩУК МИКОЛА ЄФРЕМОВИЧ</v>
          </cell>
          <cell r="C208" t="str">
            <v>1619301539</v>
          </cell>
          <cell r="D208" t="str">
            <v>26251113800001</v>
          </cell>
        </row>
        <row r="209">
          <cell r="B209" t="str">
            <v>ПОЛІЩУК ЮРІЙ БОРИСОВИЧ</v>
          </cell>
          <cell r="C209" t="str">
            <v>2056103731</v>
          </cell>
          <cell r="D209" t="str">
            <v>26256143143001</v>
          </cell>
        </row>
        <row r="210">
          <cell r="B210" t="str">
            <v>ПОНОМАРЕНКО АНАТОЛІЙ МИКОЛАЙОВИЧ</v>
          </cell>
          <cell r="C210" t="str">
            <v>2089518051</v>
          </cell>
          <cell r="D210" t="str">
            <v>26250086808001</v>
          </cell>
        </row>
        <row r="211">
          <cell r="B211" t="str">
            <v>ПОПОВА ОЛЕНА ОЛЕКСАНДРІВНА</v>
          </cell>
          <cell r="C211" t="str">
            <v>2422614361</v>
          </cell>
          <cell r="D211" t="str">
            <v>26255059937001</v>
          </cell>
        </row>
        <row r="212">
          <cell r="B212" t="str">
            <v>ПРИДАЧУК НАТАЛІЯ МИХАЙЛІВНА</v>
          </cell>
          <cell r="C212" t="str">
            <v>2285016782</v>
          </cell>
          <cell r="D212" t="str">
            <v>26251059276001</v>
          </cell>
        </row>
        <row r="213">
          <cell r="B213" t="str">
            <v>ПРИМАЧОК МИКОЛА ЯКОВИЧ</v>
          </cell>
          <cell r="C213" t="str">
            <v>1787605317</v>
          </cell>
          <cell r="D213" t="str">
            <v>26251059964001</v>
          </cell>
        </row>
        <row r="214">
          <cell r="B214" t="str">
            <v>ПРИХОДЬКО АЛЛА ОЛЕКСАНДРІВНА</v>
          </cell>
          <cell r="C214" t="str">
            <v>2624910408</v>
          </cell>
          <cell r="D214" t="str">
            <v>26254059950001</v>
          </cell>
        </row>
        <row r="215">
          <cell r="B215" t="str">
            <v>ПРОЙДАК МАРИНА МИХАЙЛІВНА</v>
          </cell>
          <cell r="C215" t="str">
            <v>2254806462</v>
          </cell>
          <cell r="D215" t="str">
            <v>26257100099001</v>
          </cell>
        </row>
        <row r="216">
          <cell r="B216" t="str">
            <v>ПРОКОПЕНКО АНАСТАСІЯ ОЛЕКСАНДРІВНА</v>
          </cell>
          <cell r="C216" t="str">
            <v>2109807864</v>
          </cell>
          <cell r="D216" t="str">
            <v>26258063049001</v>
          </cell>
        </row>
        <row r="217">
          <cell r="B217" t="str">
            <v>ПУЗИРЕНКО ОЛЕНА ГЕОРГІЇВНА</v>
          </cell>
          <cell r="C217" t="str">
            <v>2202008369</v>
          </cell>
          <cell r="D217" t="str">
            <v>26253063055001</v>
          </cell>
        </row>
        <row r="218">
          <cell r="B218" t="str">
            <v>ПЯТНИЦЬКИЙ ЮРІЙ СЕРГІЙОВИЧ</v>
          </cell>
          <cell r="C218" t="str">
            <v>2608411438</v>
          </cell>
          <cell r="D218" t="str">
            <v>26258184360001</v>
          </cell>
        </row>
        <row r="219">
          <cell r="B219" t="str">
            <v>РАДКЕВИЧ НАТАЛЯ ВІКТОРІВНА</v>
          </cell>
          <cell r="C219" t="str">
            <v>2779911907</v>
          </cell>
          <cell r="D219" t="str">
            <v>26259074662001</v>
          </cell>
        </row>
        <row r="220">
          <cell r="B220" t="str">
            <v>РАХАЛЬСЬКА ГАННА ВОЛОДИМИРІВНА</v>
          </cell>
          <cell r="C220" t="str">
            <v>2948218649</v>
          </cell>
          <cell r="D220" t="str">
            <v>26255105115001</v>
          </cell>
        </row>
        <row r="221">
          <cell r="B221" t="str">
            <v>РИБЧУК ВІКТОР ОЛЕКСАНДРОВИЧ</v>
          </cell>
          <cell r="C221" t="str">
            <v>2179603052</v>
          </cell>
          <cell r="D221" t="str">
            <v>26254115593001</v>
          </cell>
        </row>
        <row r="222">
          <cell r="B222" t="str">
            <v>РИНГАЧ НАТАЛІЯ ОЛЕСАНДРІВНА</v>
          </cell>
          <cell r="C222" t="str">
            <v>2210817984</v>
          </cell>
          <cell r="D222" t="str">
            <v>26251059942001</v>
          </cell>
        </row>
        <row r="223">
          <cell r="B223" t="str">
            <v>РІБУН ЛАРИСА ВОЛОДИМИРІВНА</v>
          </cell>
          <cell r="C223" t="str">
            <v>2935122949</v>
          </cell>
          <cell r="D223" t="str">
            <v>26252102036001</v>
          </cell>
        </row>
        <row r="224">
          <cell r="B224" t="str">
            <v>РОЗЕНТАЛЬ НАДІЯ СЕРГІЇВНА</v>
          </cell>
          <cell r="C224" t="str">
            <v>1802411902</v>
          </cell>
          <cell r="D224" t="str">
            <v>26254059961001</v>
          </cell>
        </row>
        <row r="225">
          <cell r="B225" t="str">
            <v>РОМАШКО СЕРГІЙ ВОЛОДИМИРОВИЧ</v>
          </cell>
          <cell r="C225" t="str">
            <v>2523814437</v>
          </cell>
          <cell r="D225" t="str">
            <v>26252059941001</v>
          </cell>
        </row>
        <row r="226">
          <cell r="B226" t="str">
            <v>РУБЕКО СВІТЛАНА СЕРГІЇВНА</v>
          </cell>
          <cell r="C226" t="str">
            <v>1512815648</v>
          </cell>
          <cell r="D226" t="str">
            <v>26259140820001</v>
          </cell>
        </row>
        <row r="227">
          <cell r="B227" t="str">
            <v>САДОВА ОКСАНА ІВАНІВНА</v>
          </cell>
          <cell r="C227" t="str">
            <v>2046806229</v>
          </cell>
          <cell r="D227" t="str">
            <v>26255067651001</v>
          </cell>
        </row>
        <row r="228">
          <cell r="B228" t="str">
            <v>САДЧИКОВ МИКОЛА ВАСИЛЬОВИЧ</v>
          </cell>
          <cell r="C228" t="str">
            <v>1899393513</v>
          </cell>
          <cell r="D228" t="str">
            <v>26251061565001</v>
          </cell>
        </row>
        <row r="229">
          <cell r="B229" t="str">
            <v>САЙДОВА ОЛЕНА ВІКТОРІВНА</v>
          </cell>
          <cell r="C229" t="str">
            <v>2279522108</v>
          </cell>
          <cell r="D229" t="str">
            <v>26258096771001</v>
          </cell>
        </row>
        <row r="230">
          <cell r="B230" t="str">
            <v>САЙКО РІММА ВОЛОДИМИРІВНА</v>
          </cell>
          <cell r="C230" t="str">
            <v>2486013704</v>
          </cell>
          <cell r="D230" t="str">
            <v>26256085085001</v>
          </cell>
        </row>
        <row r="231">
          <cell r="B231" t="str">
            <v>САКАЛИ МИХАЙЛО ВОЛОДИМИРОВИЧ</v>
          </cell>
          <cell r="C231" t="str">
            <v>2077905811</v>
          </cell>
          <cell r="D231" t="str">
            <v>26253185397001</v>
          </cell>
        </row>
        <row r="232">
          <cell r="B232" t="str">
            <v>САКАЛЬСЬКА ОЛЬГА ПЕТРІВНА</v>
          </cell>
          <cell r="C232" t="str">
            <v>2157021188</v>
          </cell>
          <cell r="D232" t="str">
            <v>26259104435001</v>
          </cell>
        </row>
        <row r="233">
          <cell r="B233" t="str">
            <v>САЛІЄНКО ІГОР АНАТОЛІЙОВИЧ</v>
          </cell>
          <cell r="C233" t="str">
            <v>2878017594</v>
          </cell>
          <cell r="D233" t="str">
            <v>26258140821001</v>
          </cell>
        </row>
        <row r="234">
          <cell r="B234" t="str">
            <v>САЛМАНОВ АЙДИН ГУРБАН ОГЛИ</v>
          </cell>
          <cell r="C234" t="str">
            <v>2091100050</v>
          </cell>
          <cell r="D234" t="str">
            <v>26252151407001</v>
          </cell>
        </row>
        <row r="235">
          <cell r="B235" t="str">
            <v>САЛО НАДІЯ ЙОСИФІВНА</v>
          </cell>
          <cell r="C235" t="str">
            <v>2597706205</v>
          </cell>
          <cell r="D235" t="str">
            <v>26259059944001</v>
          </cell>
        </row>
        <row r="236">
          <cell r="B236" t="str">
            <v>САПРОНОВА СВІТЛАНА ДМИТРІВНА</v>
          </cell>
          <cell r="C236" t="str">
            <v>1838817629</v>
          </cell>
          <cell r="D236" t="str">
            <v>26251063079001</v>
          </cell>
        </row>
        <row r="237">
          <cell r="B237" t="str">
            <v>САПУГА ІРИНА ЄВГЕНІЇВНА</v>
          </cell>
          <cell r="C237" t="str">
            <v>1946116560</v>
          </cell>
          <cell r="D237" t="str">
            <v>26257059270001</v>
          </cell>
        </row>
        <row r="238">
          <cell r="B238" t="str">
            <v>СЕМЕНЧЕНКО ГЕННАДІЙ БОРИСОВИЧ</v>
          </cell>
          <cell r="C238" t="str">
            <v>2546700814</v>
          </cell>
          <cell r="D238" t="str">
            <v>26257063084001</v>
          </cell>
        </row>
        <row r="239">
          <cell r="B239" t="str">
            <v>СЕМЕНЧЕНКО ОКСАНА ГРИГОРІВНА</v>
          </cell>
          <cell r="C239" t="str">
            <v>2547704684</v>
          </cell>
          <cell r="D239" t="str">
            <v>26250063070001</v>
          </cell>
        </row>
        <row r="240">
          <cell r="B240" t="str">
            <v>СЕМЕНЧУК ЯРОСЛАВА МИХАЙЛІВНА</v>
          </cell>
          <cell r="C240" t="str">
            <v>2639102888</v>
          </cell>
          <cell r="D240" t="str">
            <v>26258073880001</v>
          </cell>
        </row>
        <row r="241">
          <cell r="B241" t="str">
            <v>СЕМЕРУНЬ ІРИНА ВАЛЕРІЇВНА</v>
          </cell>
          <cell r="C241" t="str">
            <v>2298916927</v>
          </cell>
          <cell r="D241" t="str">
            <v>26258071268001</v>
          </cell>
        </row>
        <row r="242">
          <cell r="B242" t="str">
            <v>СЕНАТОВ ОЛЕГ ВІКТОРОВИЧ</v>
          </cell>
          <cell r="C242" t="str">
            <v>2393605533</v>
          </cell>
          <cell r="D242" t="str">
            <v>26259130841001</v>
          </cell>
        </row>
        <row r="243">
          <cell r="B243" t="str">
            <v>СИДОРОВА ОЛЬГА БОРИСІВНА</v>
          </cell>
          <cell r="C243" t="str">
            <v>2085618820</v>
          </cell>
          <cell r="D243" t="str">
            <v>26253063044001</v>
          </cell>
        </row>
        <row r="244">
          <cell r="B244" t="str">
            <v>СИНЕЛЬНИК СВІТЛАНА ВАСИЛІВНА</v>
          </cell>
          <cell r="C244" t="str">
            <v>2143507964</v>
          </cell>
          <cell r="D244" t="str">
            <v>26256067649001</v>
          </cell>
        </row>
        <row r="245">
          <cell r="B245" t="str">
            <v>СИТЕНКО МИХАЙЛО АНТОНОВИЧ</v>
          </cell>
          <cell r="C245" t="str">
            <v>1870317415</v>
          </cell>
          <cell r="D245" t="str">
            <v>26257059269001</v>
          </cell>
        </row>
        <row r="246">
          <cell r="B246" t="str">
            <v>СІБІР ЖАННА АНАТОЛІЇВНА</v>
          </cell>
          <cell r="C246" t="str">
            <v>2553304788</v>
          </cell>
          <cell r="D246" t="str">
            <v>26253067653001</v>
          </cell>
        </row>
        <row r="247">
          <cell r="B247" t="str">
            <v>СКИДОНЕНКО НАТАЛІЯ МИХАЙЛІВНА</v>
          </cell>
          <cell r="C247" t="str">
            <v>2370609467</v>
          </cell>
          <cell r="D247" t="str">
            <v>26251063080001</v>
          </cell>
        </row>
        <row r="248">
          <cell r="B248" t="str">
            <v>СКРИПНИК АНАТОЛІЙ ПЕТРОВИЧ</v>
          </cell>
          <cell r="C248" t="str">
            <v>1849105817</v>
          </cell>
          <cell r="D248" t="str">
            <v>26255059283001</v>
          </cell>
        </row>
        <row r="249">
          <cell r="B249" t="str">
            <v>СКРИПНИК ІВАННА ВЯЧЕСЛАВІВНА</v>
          </cell>
          <cell r="C249" t="str">
            <v>2933618388</v>
          </cell>
          <cell r="D249" t="str">
            <v>26254061573001</v>
          </cell>
        </row>
        <row r="250">
          <cell r="B250" t="str">
            <v>СКРИПНЮК ПЕТРО ОЛЕКСІЙОВИЧ</v>
          </cell>
          <cell r="C250" t="str">
            <v>1726202658</v>
          </cell>
          <cell r="D250" t="str">
            <v>26250059965001</v>
          </cell>
        </row>
        <row r="251">
          <cell r="B251" t="str">
            <v>СКРИПЧЕНКО НАТАЛІЯ ВАСИЛІВНА</v>
          </cell>
          <cell r="C251" t="str">
            <v>2683011521</v>
          </cell>
          <cell r="D251" t="str">
            <v>26253151008001</v>
          </cell>
        </row>
        <row r="252">
          <cell r="B252" t="str">
            <v>СЛЮСАР СВІТЛАНА БОРИСІВНА</v>
          </cell>
          <cell r="C252" t="str">
            <v>2488309169</v>
          </cell>
          <cell r="D252" t="str">
            <v>26255119479001</v>
          </cell>
        </row>
        <row r="253">
          <cell r="B253" t="str">
            <v>СМІРНОВА ОЛЬГА СЕРГІЇВНА</v>
          </cell>
          <cell r="C253" t="str">
            <v>2705313566</v>
          </cell>
          <cell r="D253" t="str">
            <v>26256147688001</v>
          </cell>
        </row>
        <row r="254">
          <cell r="B254" t="str">
            <v>СНІСАРЬ ВАЛЕНТИН ФЕДОРОВИЧ</v>
          </cell>
          <cell r="C254" t="str">
            <v>2240422094</v>
          </cell>
          <cell r="D254" t="str">
            <v>26251142332001</v>
          </cell>
        </row>
        <row r="255">
          <cell r="B255" t="str">
            <v>СОКОЛОВСЬКИЙ МИКОЛА ВАСИЛЬОВИЧ</v>
          </cell>
          <cell r="C255" t="str">
            <v>1843813915</v>
          </cell>
          <cell r="D255" t="str">
            <v>26257061558001</v>
          </cell>
        </row>
        <row r="256">
          <cell r="B256" t="str">
            <v>СОРОКА ВІРА КОНОНІВНА</v>
          </cell>
          <cell r="C256" t="str">
            <v>1175201322</v>
          </cell>
          <cell r="D256" t="str">
            <v>26257067660001</v>
          </cell>
        </row>
        <row r="257">
          <cell r="B257" t="str">
            <v>СОФРОНОВ АНДРІЙ ІВАНОВИЧ</v>
          </cell>
          <cell r="C257" t="str">
            <v>2386905239</v>
          </cell>
          <cell r="D257" t="str">
            <v>26258063038001</v>
          </cell>
        </row>
        <row r="258">
          <cell r="B258" t="str">
            <v>СОХАНЬ ТАМАРА ПЕТРІВНА</v>
          </cell>
          <cell r="C258" t="str">
            <v>2238219662</v>
          </cell>
          <cell r="D258" t="str">
            <v>26255071272001</v>
          </cell>
        </row>
        <row r="259">
          <cell r="B259" t="str">
            <v>СТАНІСЛАВЧУК ТАМАРА ВАЛЕРІЇВНА</v>
          </cell>
          <cell r="C259" t="str">
            <v>3031715609</v>
          </cell>
          <cell r="D259" t="str">
            <v>26252151009001</v>
          </cell>
        </row>
        <row r="260">
          <cell r="B260" t="str">
            <v>СТАРЧА ТЕТЯНА МИХАЙЛІВНА</v>
          </cell>
          <cell r="C260" t="str">
            <v>2162607927</v>
          </cell>
          <cell r="D260" t="str">
            <v>26256059936001</v>
          </cell>
        </row>
        <row r="261">
          <cell r="B261" t="str">
            <v>СТАХІВСЬКИЙ СЕРГІЙ МИКОЛАЙОВИЧ</v>
          </cell>
          <cell r="C261" t="str">
            <v>2432417456</v>
          </cell>
          <cell r="D261" t="str">
            <v>26257059946001</v>
          </cell>
        </row>
        <row r="262">
          <cell r="B262" t="str">
            <v>СТЕПАНЕЦЬ ІРИНА ІВАНІВНА</v>
          </cell>
          <cell r="C262" t="str">
            <v>2241006942</v>
          </cell>
          <cell r="D262" t="str">
            <v>26259118700001</v>
          </cell>
        </row>
        <row r="263">
          <cell r="B263" t="str">
            <v>СТЕПАНОВА ВІРА ПЕТРІВНА</v>
          </cell>
          <cell r="C263" t="str">
            <v>1872012362</v>
          </cell>
          <cell r="D263" t="str">
            <v>26250059266001</v>
          </cell>
        </row>
        <row r="264">
          <cell r="B264" t="str">
            <v>СТОРОЖЕНКО ЛЮДМИЛА ВІТАЛІЇВНА</v>
          </cell>
          <cell r="C264" t="str">
            <v>2801615123</v>
          </cell>
          <cell r="D264" t="str">
            <v>26250148188001</v>
          </cell>
        </row>
        <row r="265">
          <cell r="B265" t="str">
            <v>СТРЕЛЬНИКОВ МИХАЙЛО ОЛЕКСАНДРОВИЧ</v>
          </cell>
          <cell r="C265" t="str">
            <v>2220501259</v>
          </cell>
          <cell r="D265" t="str">
            <v>26251128969001</v>
          </cell>
        </row>
        <row r="266">
          <cell r="B266" t="str">
            <v>СТРІЖАКОВА АНЖЕЛІКА ВАЛЕРІПВНА</v>
          </cell>
          <cell r="C266" t="str">
            <v>2213724925</v>
          </cell>
          <cell r="D266" t="str">
            <v>26258081913001</v>
          </cell>
        </row>
        <row r="267">
          <cell r="B267" t="str">
            <v>ТАРАСОВСЬКИЙ ВОЛОДИМИР ОЛЕКСІЙОВИЧ</v>
          </cell>
          <cell r="C267" t="str">
            <v>2462905332</v>
          </cell>
          <cell r="D267" t="str">
            <v>26257059935001</v>
          </cell>
        </row>
        <row r="268">
          <cell r="B268" t="str">
            <v>ТЕРЕЩЕНКО АЛЬОНА ВАСИЛІВНА</v>
          </cell>
          <cell r="C268" t="str">
            <v>2684917527</v>
          </cell>
          <cell r="D268" t="str">
            <v>26256189721001</v>
          </cell>
        </row>
        <row r="269">
          <cell r="B269" t="str">
            <v>ТИМОШЕНКО АДАМ ІВАНОВИЧ</v>
          </cell>
          <cell r="C269" t="str">
            <v>1869903435</v>
          </cell>
          <cell r="D269" t="str">
            <v>26251147199001</v>
          </cell>
        </row>
        <row r="270">
          <cell r="B270" t="str">
            <v>ТИМОШЕНКО ЛЮДМИЛА ОЛЕКСІЇВНА</v>
          </cell>
          <cell r="C270" t="str">
            <v>2881301986</v>
          </cell>
          <cell r="D270" t="str">
            <v>26258140166001</v>
          </cell>
        </row>
        <row r="271">
          <cell r="B271" t="str">
            <v>ТИЩЕНКО ОЛЕНА ГРИГОРІВНА</v>
          </cell>
          <cell r="C271" t="str">
            <v>3120315020</v>
          </cell>
          <cell r="D271" t="str">
            <v>26258149026001</v>
          </cell>
        </row>
        <row r="272">
          <cell r="B272" t="str">
            <v>ТОРОВЕЦЬ ЛЕОНІД ЮРІОЙВИЧ</v>
          </cell>
          <cell r="C272" t="str">
            <v>2849010074</v>
          </cell>
          <cell r="D272" t="str">
            <v>26253162558001</v>
          </cell>
        </row>
        <row r="273">
          <cell r="B273" t="str">
            <v>ТРИНЧУК ОЛЕНА ВОЛОДИМИРІВНА</v>
          </cell>
          <cell r="C273" t="str">
            <v>2658017949</v>
          </cell>
          <cell r="D273" t="str">
            <v>26254079093001</v>
          </cell>
        </row>
        <row r="274">
          <cell r="B274" t="str">
            <v>ТУЛУПОВ ОЛЕГ АНДРІЙОВИЧ</v>
          </cell>
          <cell r="C274" t="str">
            <v>1962313798</v>
          </cell>
          <cell r="D274" t="str">
            <v>26256121132001</v>
          </cell>
        </row>
        <row r="275">
          <cell r="B275" t="str">
            <v>ТУРЧИНСЬКА ОЛЬГА ПЕТРІВНА</v>
          </cell>
          <cell r="C275" t="str">
            <v>3041418249</v>
          </cell>
          <cell r="D275" t="str">
            <v>26250147468001</v>
          </cell>
        </row>
        <row r="276">
          <cell r="B276" t="str">
            <v>ФЕДЕНКО ІРИНА БОРИСІВНА</v>
          </cell>
          <cell r="C276" t="str">
            <v>2291417065</v>
          </cell>
          <cell r="D276" t="str">
            <v>26255063042001</v>
          </cell>
        </row>
        <row r="277">
          <cell r="B277" t="str">
            <v>ФЕДЬКО ОЛЕКСАНДР АНАТОЛІЙОВИЧ</v>
          </cell>
          <cell r="C277" t="str">
            <v>2313413790</v>
          </cell>
          <cell r="D277" t="str">
            <v>26254151007001</v>
          </cell>
        </row>
        <row r="278">
          <cell r="B278" t="str">
            <v>ФІЛАТОВА ЛАРИСА АНАТОЛІЇВНА</v>
          </cell>
          <cell r="C278" t="str">
            <v>2436200727</v>
          </cell>
          <cell r="D278" t="str">
            <v>26259067657001</v>
          </cell>
        </row>
        <row r="279">
          <cell r="B279" t="str">
            <v>ФІЛІПОВА КАТЕРИНА АНАТОЛІЇВНА</v>
          </cell>
          <cell r="C279" t="str">
            <v>2951208000</v>
          </cell>
          <cell r="D279" t="str">
            <v>26251130441001</v>
          </cell>
        </row>
        <row r="280">
          <cell r="B280" t="str">
            <v>ФІЦАК ІРИНА ВАСИЛІВНА</v>
          </cell>
          <cell r="C280" t="str">
            <v>2621505480</v>
          </cell>
          <cell r="D280" t="str">
            <v>26257061569001</v>
          </cell>
        </row>
        <row r="281">
          <cell r="B281" t="str">
            <v>ХАБЕНКО ОЛЕГ МИКОЛАЙОВИЧ</v>
          </cell>
          <cell r="C281" t="str">
            <v>1891417151</v>
          </cell>
          <cell r="D281" t="str">
            <v>26253119415001</v>
          </cell>
        </row>
        <row r="282">
          <cell r="B282" t="str">
            <v>ХАДЖИНОВА НАТАЛІЯ АФАНАСІЇВНА</v>
          </cell>
          <cell r="C282" t="str">
            <v>2141200402</v>
          </cell>
          <cell r="D282" t="str">
            <v>26258104436001</v>
          </cell>
        </row>
        <row r="283">
          <cell r="B283" t="str">
            <v>ХАНЕНКО СВЯТОСЛАВ МИХАЙЛОВИЧ</v>
          </cell>
          <cell r="C283" t="str">
            <v>1959305978</v>
          </cell>
          <cell r="D283" t="str">
            <v>26255115592001</v>
          </cell>
        </row>
        <row r="284">
          <cell r="B284" t="str">
            <v>ХАРІНА ТЕТЯНА ВОЛОДИМИРІВНА</v>
          </cell>
          <cell r="C284" t="str">
            <v>2822602588</v>
          </cell>
          <cell r="D284" t="str">
            <v>26256061560001</v>
          </cell>
        </row>
        <row r="285">
          <cell r="B285" t="str">
            <v>ХОМИЧ ОЛЕНА ОЛЕКСІЇВНА</v>
          </cell>
          <cell r="C285" t="str">
            <v>2547412188</v>
          </cell>
          <cell r="D285" t="str">
            <v>26257164596001</v>
          </cell>
        </row>
        <row r="286">
          <cell r="B286" t="str">
            <v>ХРАПАЧЕВСЬКА ЮЛІЯ СТАНІСЛАВІВНА</v>
          </cell>
          <cell r="C286" t="str">
            <v>2628015309</v>
          </cell>
          <cell r="D286" t="str">
            <v>26250059277001</v>
          </cell>
        </row>
        <row r="287">
          <cell r="B287" t="str">
            <v>ЦАРЕНКО ЛІЛІАНА ЮРІЇВНА</v>
          </cell>
          <cell r="C287" t="str">
            <v>2627401981</v>
          </cell>
          <cell r="D287" t="str">
            <v>26259063082001</v>
          </cell>
        </row>
        <row r="288">
          <cell r="B288" t="str">
            <v>ЦЕНІЛОВА ЖАННА ВАЛЕНТИНІВНА</v>
          </cell>
          <cell r="C288" t="str">
            <v>2178810089</v>
          </cell>
          <cell r="D288" t="str">
            <v>26250150552001</v>
          </cell>
        </row>
        <row r="289">
          <cell r="B289" t="str">
            <v>ЧАЛОВА ЮЛІЯ ОЛЕКСАНДРІВНА</v>
          </cell>
          <cell r="C289" t="str">
            <v>2846314083</v>
          </cell>
          <cell r="D289" t="str">
            <v>26259081901001</v>
          </cell>
        </row>
        <row r="290">
          <cell r="B290" t="str">
            <v>ЧЕЛБАЄВА ІРИНА АНАТОЛІЇВНА</v>
          </cell>
          <cell r="C290" t="str">
            <v>2699311306</v>
          </cell>
          <cell r="D290" t="str">
            <v>26252063056001</v>
          </cell>
        </row>
        <row r="291">
          <cell r="B291" t="str">
            <v>ЧЕРЕДНІЧЕНКО ЛІЛІЯ ВІТАЛІЇВНА</v>
          </cell>
          <cell r="C291" t="str">
            <v>2857302307</v>
          </cell>
          <cell r="D291" t="str">
            <v>26253063066001</v>
          </cell>
        </row>
        <row r="292">
          <cell r="B292" t="str">
            <v>ЧЕРКАШИНА ЛЮДМИЛА ВОЛОДИМИРІВНА</v>
          </cell>
          <cell r="C292" t="str">
            <v>2224501421</v>
          </cell>
          <cell r="D292" t="str">
            <v>26257081914001</v>
          </cell>
        </row>
        <row r="293">
          <cell r="B293" t="str">
            <v>ЧЕРНИК ТАМАРА ІВАНІВНА</v>
          </cell>
          <cell r="C293" t="str">
            <v>1871611227</v>
          </cell>
          <cell r="D293" t="str">
            <v>26250061566001</v>
          </cell>
        </row>
        <row r="294">
          <cell r="B294" t="str">
            <v>ЧЕРНИШЕНКО ТЕТЯНА ІВАНІВНА</v>
          </cell>
          <cell r="C294" t="str">
            <v>1945606460</v>
          </cell>
          <cell r="D294" t="str">
            <v>26255076512001</v>
          </cell>
        </row>
        <row r="295">
          <cell r="B295" t="str">
            <v>ЧЕРНЯК СЕРГІЙ ІВАНОВИЧ</v>
          </cell>
          <cell r="C295" t="str">
            <v>1968608717</v>
          </cell>
          <cell r="D295" t="str">
            <v>26253059939001</v>
          </cell>
        </row>
        <row r="296">
          <cell r="B296" t="str">
            <v>ШАРАТОВ ЮРІЙ АНАТОЛІЙОВИЧ</v>
          </cell>
          <cell r="C296" t="str">
            <v>2790812555</v>
          </cell>
          <cell r="D296" t="str">
            <v>26257104437001</v>
          </cell>
        </row>
        <row r="297">
          <cell r="B297" t="str">
            <v>ШВЕЦЬ ОЛЕНА ЮРІЇВНА</v>
          </cell>
          <cell r="C297" t="str">
            <v>2757613448</v>
          </cell>
          <cell r="D297" t="str">
            <v>26253059274001</v>
          </cell>
        </row>
        <row r="298">
          <cell r="B298" t="str">
            <v>ШКОРБОТУН МЕЛАНІЯ КИРИЛІВНА</v>
          </cell>
          <cell r="C298" t="str">
            <v>2082422760</v>
          </cell>
          <cell r="D298" t="str">
            <v>26250063081001</v>
          </cell>
        </row>
        <row r="299">
          <cell r="B299" t="str">
            <v>ШЛОНЧАК НАТАЛІЯ ВАСИЛІВНА</v>
          </cell>
          <cell r="C299" t="str">
            <v>2772708864</v>
          </cell>
          <cell r="D299" t="str">
            <v>26256063063001</v>
          </cell>
        </row>
        <row r="300">
          <cell r="B300" t="str">
            <v>ШПАК ІГОР ВІКТОРОВИЧ</v>
          </cell>
          <cell r="C300" t="str">
            <v>2295715312</v>
          </cell>
          <cell r="D300" t="str">
            <v>26252175739001</v>
          </cell>
        </row>
        <row r="301">
          <cell r="B301" t="str">
            <v>ШУМИЛО ТЕТЯНА МИКИТІВНА</v>
          </cell>
          <cell r="C301" t="str">
            <v>1886506582</v>
          </cell>
          <cell r="D301" t="str">
            <v>26253059962001</v>
          </cell>
        </row>
        <row r="302">
          <cell r="B302" t="str">
            <v>ШУХ ЛЮДМИЛА АНАТОЛІЇВНА</v>
          </cell>
          <cell r="C302" t="str">
            <v>2401608303</v>
          </cell>
          <cell r="D302" t="str">
            <v>26257189720001</v>
          </cell>
        </row>
        <row r="303">
          <cell r="B303" t="str">
            <v>ЩЕРБИНА АНДРIЙ АНАТОЛIЙОВИЧ</v>
          </cell>
          <cell r="C303" t="str">
            <v>2450610890</v>
          </cell>
          <cell r="D303" t="str">
            <v>26259070796001</v>
          </cell>
        </row>
        <row r="304">
          <cell r="B304" t="str">
            <v>ЮХНО ЛЮДМИЛА ОЛЕКСАНДРІВНА</v>
          </cell>
          <cell r="C304" t="str">
            <v>2558317547</v>
          </cell>
          <cell r="D304" t="str">
            <v>26257063039001</v>
          </cell>
        </row>
        <row r="305">
          <cell r="B305" t="str">
            <v>ЯКОВЕНКО ТЕТЯНА МИХАЙЛІВНА</v>
          </cell>
          <cell r="C305" t="str">
            <v>2517802867</v>
          </cell>
          <cell r="D305" t="str">
            <v>26259187258001</v>
          </cell>
        </row>
        <row r="306">
          <cell r="B306" t="str">
            <v>ЯКУБОВСЬКИЙ ВАЛЕРІЙ ПЕТРОВИЧ</v>
          </cell>
          <cell r="C306" t="str">
            <v>2070819238</v>
          </cell>
          <cell r="D306" t="str">
            <v>26251074660001</v>
          </cell>
        </row>
        <row r="307">
          <cell r="B307" t="str">
            <v>ЯКУХНОВА ОЛЬГА СТЕПАНІВНА</v>
          </cell>
          <cell r="C307" t="str">
            <v>2027908261</v>
          </cell>
          <cell r="D307" t="str">
            <v>26256067650001</v>
          </cell>
        </row>
        <row r="308">
          <cell r="B308" t="str">
            <v>ЯРКО ЛЮДМИЛА ВОЛОДИМИРІВНА</v>
          </cell>
          <cell r="C308" t="str">
            <v>2975807043</v>
          </cell>
          <cell r="D308" t="str">
            <v>26251156544001</v>
          </cell>
        </row>
        <row r="309">
          <cell r="B309" t="str">
            <v>ЯРОШЕВСЬКИЙ ВІКТОР СТЕПАНОВИЧ</v>
          </cell>
          <cell r="C309" t="str">
            <v>2065702579</v>
          </cell>
          <cell r="D309" t="str">
            <v>26254076513001</v>
          </cell>
        </row>
        <row r="310">
          <cell r="B310" t="str">
            <v>ЯСІНСЬКА ЛЮДМИЛА ГЕННАДІЇВНА</v>
          </cell>
          <cell r="C310" t="str">
            <v>1964609380</v>
          </cell>
          <cell r="D310" t="str">
            <v>26253181443001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  <sheetName val="додаток до звіту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7  інші витрати"/>
      <sheetName val="Лист1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Ener 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7  інші витрати"/>
      <sheetName val="ПАРАМЕТР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додаток  3"/>
      <sheetName val="т17мб(шаблон)"/>
      <sheetName val="Set"/>
      <sheetName val="учасники"/>
      <sheetName val="объект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тарифікація"/>
      <sheetName val="Тарифікація 2"/>
      <sheetName val="штат-розп"/>
      <sheetName val="ЗВ штат-розп"/>
      <sheetName val="НЧ - СД"/>
      <sheetName val="ФОП"/>
      <sheetName val="Нічні"/>
    </sheetNames>
    <sheetDataSet>
      <sheetData sheetId="0"/>
      <sheetData sheetId="1"/>
      <sheetData sheetId="2">
        <row r="76">
          <cell r="AG76">
            <v>8000</v>
          </cell>
        </row>
        <row r="77">
          <cell r="AG77">
            <v>8000</v>
          </cell>
        </row>
        <row r="78">
          <cell r="AG78">
            <v>8000</v>
          </cell>
        </row>
        <row r="79">
          <cell r="AG79">
            <v>8000</v>
          </cell>
        </row>
        <row r="80">
          <cell r="AG80">
            <v>8000</v>
          </cell>
        </row>
        <row r="81">
          <cell r="AG81">
            <v>8000</v>
          </cell>
        </row>
        <row r="82">
          <cell r="AG82">
            <v>8000</v>
          </cell>
        </row>
        <row r="83">
          <cell r="AG83">
            <v>8000</v>
          </cell>
        </row>
        <row r="84">
          <cell r="AG84">
            <v>8000</v>
          </cell>
        </row>
        <row r="85">
          <cell r="AG85">
            <v>4000</v>
          </cell>
        </row>
        <row r="86">
          <cell r="AG86">
            <v>4000</v>
          </cell>
        </row>
      </sheetData>
      <sheetData sheetId="3">
        <row r="212">
          <cell r="K212">
            <v>3</v>
          </cell>
        </row>
        <row r="213">
          <cell r="K213">
            <v>13</v>
          </cell>
        </row>
        <row r="214">
          <cell r="K214">
            <v>41.25</v>
          </cell>
        </row>
        <row r="215">
          <cell r="K215">
            <v>97.5</v>
          </cell>
        </row>
        <row r="216">
          <cell r="K216">
            <v>43</v>
          </cell>
        </row>
        <row r="217">
          <cell r="K217">
            <v>43.5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gdp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gdp"/>
      <sheetName val="1993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prozorro.gov.ua/tender/UA-2022-11-15-000178-a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2-01-24-008182-b" TargetMode="External"/><Relationship Id="rId13" Type="http://schemas.openxmlformats.org/officeDocument/2006/relationships/hyperlink" Target="https://prozorro.gov.ua/tender/UA-2022-06-16-005707-a" TargetMode="External"/><Relationship Id="rId3" Type="http://schemas.openxmlformats.org/officeDocument/2006/relationships/hyperlink" Target="https://prozorro.gov.ua/tender/UA-2022-01-26-008402-b" TargetMode="External"/><Relationship Id="rId7" Type="http://schemas.openxmlformats.org/officeDocument/2006/relationships/hyperlink" Target="https://prozorro.gov.ua/tender/UA-2022-03-24-003253-b" TargetMode="External"/><Relationship Id="rId12" Type="http://schemas.openxmlformats.org/officeDocument/2006/relationships/hyperlink" Target="https://prozorro.gov.ua/tender/UA-2022-06-23-002141-a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prozorro.gov.ua/tender/UA-2022-02-15-004370-b" TargetMode="External"/><Relationship Id="rId16" Type="http://schemas.openxmlformats.org/officeDocument/2006/relationships/hyperlink" Target="https://prozorro.gov.ua/tender/UA-2022-09-14-006362-a" TargetMode="External"/><Relationship Id="rId1" Type="http://schemas.openxmlformats.org/officeDocument/2006/relationships/hyperlink" Target="https://prozorro.gov.ua/tender/UA-2022-05-27-002362-a" TargetMode="External"/><Relationship Id="rId6" Type="http://schemas.openxmlformats.org/officeDocument/2006/relationships/hyperlink" Target="https://prozorro.gov.ua/tender/UA-2022-06-14-003890-a" TargetMode="External"/><Relationship Id="rId11" Type="http://schemas.openxmlformats.org/officeDocument/2006/relationships/hyperlink" Target="https://prozorro.gov.ua/tender/UA-2022-06-09-002320-a" TargetMode="External"/><Relationship Id="rId5" Type="http://schemas.openxmlformats.org/officeDocument/2006/relationships/hyperlink" Target="https://prozorro.gov.ua/tender/UA-2022-06-15-004172-a" TargetMode="External"/><Relationship Id="rId15" Type="http://schemas.openxmlformats.org/officeDocument/2006/relationships/hyperlink" Target="https://prozorro.gov.ua/tender/UA-2022-09-06-009534-a" TargetMode="External"/><Relationship Id="rId10" Type="http://schemas.openxmlformats.org/officeDocument/2006/relationships/hyperlink" Target="https://prozorro.gov.ua/tender/UA-2022-06-07-006394-a" TargetMode="External"/><Relationship Id="rId4" Type="http://schemas.openxmlformats.org/officeDocument/2006/relationships/hyperlink" Target="https://prozorro.gov.ua/tender/UA-2022-04-20-000925-a" TargetMode="External"/><Relationship Id="rId9" Type="http://schemas.openxmlformats.org/officeDocument/2006/relationships/hyperlink" Target="https://prozorro.gov.ua/tender/UA-2022-05-20-003869-a" TargetMode="External"/><Relationship Id="rId14" Type="http://schemas.openxmlformats.org/officeDocument/2006/relationships/hyperlink" Target="https://prozorro.gov.ua/tender/UA-2022-06-15-003675-a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2-02-28-000885-a" TargetMode="External"/><Relationship Id="rId18" Type="http://schemas.openxmlformats.org/officeDocument/2006/relationships/hyperlink" Target="https://prozorro.gov.ua/tender/UA-2022-03-23-003545-b" TargetMode="External"/><Relationship Id="rId26" Type="http://schemas.openxmlformats.org/officeDocument/2006/relationships/hyperlink" Target="https://prozorro.gov.ua/tender/UA-2022-04-20-000925-a" TargetMode="External"/><Relationship Id="rId39" Type="http://schemas.openxmlformats.org/officeDocument/2006/relationships/hyperlink" Target="https://prozorro.gov.ua/tender/UA-2022-06-23-000751-a" TargetMode="External"/><Relationship Id="rId21" Type="http://schemas.openxmlformats.org/officeDocument/2006/relationships/hyperlink" Target="https://prozorro.gov.ua/tender/UA-2022-03-21-001032-a" TargetMode="External"/><Relationship Id="rId34" Type="http://schemas.openxmlformats.org/officeDocument/2006/relationships/hyperlink" Target="https://prozorro.gov.ua/tender/UA-2022-06-15-006450-a" TargetMode="External"/><Relationship Id="rId42" Type="http://schemas.openxmlformats.org/officeDocument/2006/relationships/hyperlink" Target="https://prozorro.gov.ua/tender/UA-2022-07-06-000137-a" TargetMode="External"/><Relationship Id="rId47" Type="http://schemas.openxmlformats.org/officeDocument/2006/relationships/hyperlink" Target="https://prozorro.gov.ua/tender/UA-2022-07-11-001697-a" TargetMode="External"/><Relationship Id="rId50" Type="http://schemas.openxmlformats.org/officeDocument/2006/relationships/hyperlink" Target="https://prozorro.gov.ua/tender/UA-2022-07-25-002801-a" TargetMode="External"/><Relationship Id="rId55" Type="http://schemas.openxmlformats.org/officeDocument/2006/relationships/hyperlink" Target="https://prozorro.gov.ua/tender/UA-2022-04-20-000925-a" TargetMode="External"/><Relationship Id="rId63" Type="http://schemas.openxmlformats.org/officeDocument/2006/relationships/hyperlink" Target="https://prozorro.gov.ua/tender/UA-2022-10-04-008957-a" TargetMode="External"/><Relationship Id="rId68" Type="http://schemas.openxmlformats.org/officeDocument/2006/relationships/printerSettings" Target="../printerSettings/printerSettings5.bin"/><Relationship Id="rId7" Type="http://schemas.openxmlformats.org/officeDocument/2006/relationships/hyperlink" Target="https://prozorro.gov.ua/tender/UA-2021-12-28-012359-c" TargetMode="External"/><Relationship Id="rId2" Type="http://schemas.openxmlformats.org/officeDocument/2006/relationships/hyperlink" Target="https://prozorro.gov.ua/tender/UA-2021-12-23-004838-c" TargetMode="External"/><Relationship Id="rId16" Type="http://schemas.openxmlformats.org/officeDocument/2006/relationships/hyperlink" Target="https://prozorro.gov.ua/tender/UA-2022-03-01-002063-a" TargetMode="External"/><Relationship Id="rId29" Type="http://schemas.openxmlformats.org/officeDocument/2006/relationships/hyperlink" Target="https://prozorro.gov.ua/tender/UA-2022-05-25-002037-a" TargetMode="External"/><Relationship Id="rId1" Type="http://schemas.openxmlformats.org/officeDocument/2006/relationships/hyperlink" Target="https://prozorro.gov.ua/tender/UA-2021-12-23-004838-c" TargetMode="External"/><Relationship Id="rId6" Type="http://schemas.openxmlformats.org/officeDocument/2006/relationships/hyperlink" Target="https://prozorro.gov.ua/tender/UA-2021-12-27-000964-c" TargetMode="External"/><Relationship Id="rId11" Type="http://schemas.openxmlformats.org/officeDocument/2006/relationships/hyperlink" Target="https://prozorro.gov.ua/tender/UA-2022-02-09-006512-b" TargetMode="External"/><Relationship Id="rId24" Type="http://schemas.openxmlformats.org/officeDocument/2006/relationships/hyperlink" Target="https://prozorro.gov.ua/tender/UA-2022-04-08-001715-b" TargetMode="External"/><Relationship Id="rId32" Type="http://schemas.openxmlformats.org/officeDocument/2006/relationships/hyperlink" Target="https://prozorro.gov.ua/tender/UA-2022-06-03-003938-a" TargetMode="External"/><Relationship Id="rId37" Type="http://schemas.openxmlformats.org/officeDocument/2006/relationships/hyperlink" Target="https://prozorro.gov.ua/tender/UA-2022-06-21-003178-a" TargetMode="External"/><Relationship Id="rId40" Type="http://schemas.openxmlformats.org/officeDocument/2006/relationships/hyperlink" Target="https://prozorro.gov.ua/tender/UA-2022-06-23-000751-a" TargetMode="External"/><Relationship Id="rId45" Type="http://schemas.openxmlformats.org/officeDocument/2006/relationships/hyperlink" Target="https://prozorro.gov.ua/tender/UA-2022-07-01-005673-a" TargetMode="External"/><Relationship Id="rId53" Type="http://schemas.openxmlformats.org/officeDocument/2006/relationships/hyperlink" Target="https://prozorro.gov.ua/tender/UA-2022-09-06-007256-a" TargetMode="External"/><Relationship Id="rId58" Type="http://schemas.openxmlformats.org/officeDocument/2006/relationships/hyperlink" Target="https://prozorro.gov.ua/tender/UA-2022-09-16-004153-a" TargetMode="External"/><Relationship Id="rId66" Type="http://schemas.openxmlformats.org/officeDocument/2006/relationships/hyperlink" Target="https://prozorro.gov.ua/tender/UA-2022-10-04-002820-a" TargetMode="External"/><Relationship Id="rId5" Type="http://schemas.openxmlformats.org/officeDocument/2006/relationships/hyperlink" Target="https://prozorro.gov.ua/tender/UA-2021-12-28-012359-c" TargetMode="External"/><Relationship Id="rId15" Type="http://schemas.openxmlformats.org/officeDocument/2006/relationships/hyperlink" Target="https://prozorro.gov.ua/tender/UA-2022-02-28-001856-a" TargetMode="External"/><Relationship Id="rId23" Type="http://schemas.openxmlformats.org/officeDocument/2006/relationships/hyperlink" Target="https://prozorro.gov.ua/tender/UA-2022-04-05-003127-b" TargetMode="External"/><Relationship Id="rId28" Type="http://schemas.openxmlformats.org/officeDocument/2006/relationships/hyperlink" Target="https://prozorro.gov.ua/tender/UA-2022-05-25-002037-a" TargetMode="External"/><Relationship Id="rId36" Type="http://schemas.openxmlformats.org/officeDocument/2006/relationships/hyperlink" Target="https://prozorro.gov.ua/tender/UA-2022-06-17-004896-a" TargetMode="External"/><Relationship Id="rId49" Type="http://schemas.openxmlformats.org/officeDocument/2006/relationships/hyperlink" Target="https://prozorro.gov.ua/tender/UA-2022-07-25-002801-a" TargetMode="External"/><Relationship Id="rId57" Type="http://schemas.openxmlformats.org/officeDocument/2006/relationships/hyperlink" Target="https://prozorro.gov.ua/tender/UA-2022-09-16-004153-a" TargetMode="External"/><Relationship Id="rId61" Type="http://schemas.openxmlformats.org/officeDocument/2006/relationships/hyperlink" Target="https://prozorro.gov.ua/tender/UA-2022-09-16-008121-a" TargetMode="External"/><Relationship Id="rId10" Type="http://schemas.openxmlformats.org/officeDocument/2006/relationships/hyperlink" Target="https://prozorro.gov.ua/tender/UA-2022-02-08-005472-b" TargetMode="External"/><Relationship Id="rId19" Type="http://schemas.openxmlformats.org/officeDocument/2006/relationships/hyperlink" Target="https://prozorro.gov.ua/tender/UA-2022-03-23-003545-b" TargetMode="External"/><Relationship Id="rId31" Type="http://schemas.openxmlformats.org/officeDocument/2006/relationships/hyperlink" Target="https://prozorro.gov.ua/tender/UA-2022-06-03-003938-a" TargetMode="External"/><Relationship Id="rId44" Type="http://schemas.openxmlformats.org/officeDocument/2006/relationships/hyperlink" Target="https://prozorro.gov.ua/tender/UA-2022-06-15-003341-a" TargetMode="External"/><Relationship Id="rId52" Type="http://schemas.openxmlformats.org/officeDocument/2006/relationships/hyperlink" Target="https://prozorro.gov.ua/tender/UA-2022-08-30-000874-a" TargetMode="External"/><Relationship Id="rId60" Type="http://schemas.openxmlformats.org/officeDocument/2006/relationships/hyperlink" Target="https://prozorro.gov.ua/tender/UA-2022-09-16-008376-a" TargetMode="External"/><Relationship Id="rId65" Type="http://schemas.openxmlformats.org/officeDocument/2006/relationships/hyperlink" Target="https://prozorro.gov.ua/tender/UA-2022-10-04-002820-a" TargetMode="External"/><Relationship Id="rId4" Type="http://schemas.openxmlformats.org/officeDocument/2006/relationships/hyperlink" Target="https://prozorro.gov.ua/tender/UA-2021-12-23-001011-c" TargetMode="External"/><Relationship Id="rId9" Type="http://schemas.openxmlformats.org/officeDocument/2006/relationships/hyperlink" Target="https://prozorro.gov.ua/tender/UA-2022-02-08-005472-b" TargetMode="External"/><Relationship Id="rId14" Type="http://schemas.openxmlformats.org/officeDocument/2006/relationships/hyperlink" Target="https://prozorro.gov.ua/tender/UA-2022-02-28-001856-a" TargetMode="External"/><Relationship Id="rId22" Type="http://schemas.openxmlformats.org/officeDocument/2006/relationships/hyperlink" Target="https://prozorro.gov.ua/tender/UA-2022-04-05-003127-b" TargetMode="External"/><Relationship Id="rId27" Type="http://schemas.openxmlformats.org/officeDocument/2006/relationships/hyperlink" Target="https://prozorro.gov.ua/tender/UA-2022-04-20-000925-a" TargetMode="External"/><Relationship Id="rId30" Type="http://schemas.openxmlformats.org/officeDocument/2006/relationships/hyperlink" Target="https://prozorro.gov.ua/tender/UA-2022-04-05-003127-b" TargetMode="External"/><Relationship Id="rId35" Type="http://schemas.openxmlformats.org/officeDocument/2006/relationships/hyperlink" Target="https://prozorro.gov.ua/tender/UA-2022-06-17-004896-a" TargetMode="External"/><Relationship Id="rId43" Type="http://schemas.openxmlformats.org/officeDocument/2006/relationships/hyperlink" Target="https://prozorro.gov.ua/tender/UA-2022-06-15-003341-a" TargetMode="External"/><Relationship Id="rId48" Type="http://schemas.openxmlformats.org/officeDocument/2006/relationships/hyperlink" Target="https://prozorro.gov.ua/tender/UA-2022-07-11-001697-a" TargetMode="External"/><Relationship Id="rId56" Type="http://schemas.openxmlformats.org/officeDocument/2006/relationships/hyperlink" Target="https://prozorro.gov.ua/tender/UA-2022-04-20-000925-a" TargetMode="External"/><Relationship Id="rId64" Type="http://schemas.openxmlformats.org/officeDocument/2006/relationships/hyperlink" Target="https://prozorro.gov.ua/tender/UA-2022-10-04-008957-a" TargetMode="External"/><Relationship Id="rId8" Type="http://schemas.openxmlformats.org/officeDocument/2006/relationships/hyperlink" Target="https://prozorro.gov.ua/tender/UA-2021-12-27-000964-c" TargetMode="External"/><Relationship Id="rId51" Type="http://schemas.openxmlformats.org/officeDocument/2006/relationships/hyperlink" Target="https://prozorro.gov.ua/tender/UA-2022-08-30-000874-a" TargetMode="External"/><Relationship Id="rId3" Type="http://schemas.openxmlformats.org/officeDocument/2006/relationships/hyperlink" Target="https://prozorro.gov.ua/tender/UA-2021-12-23-001011-c" TargetMode="External"/><Relationship Id="rId12" Type="http://schemas.openxmlformats.org/officeDocument/2006/relationships/hyperlink" Target="https://prozorro.gov.ua/tender/UA-2022-02-28-000885-a" TargetMode="External"/><Relationship Id="rId17" Type="http://schemas.openxmlformats.org/officeDocument/2006/relationships/hyperlink" Target="https://prozorro.gov.ua/tender/UA-2022-03-01-002063-a" TargetMode="External"/><Relationship Id="rId25" Type="http://schemas.openxmlformats.org/officeDocument/2006/relationships/hyperlink" Target="https://prozorro.gov.ua/tender/UA-2022-04-08-001715-b" TargetMode="External"/><Relationship Id="rId33" Type="http://schemas.openxmlformats.org/officeDocument/2006/relationships/hyperlink" Target="https://prozorro.gov.ua/tender/UA-2022-06-15-006450-a" TargetMode="External"/><Relationship Id="rId38" Type="http://schemas.openxmlformats.org/officeDocument/2006/relationships/hyperlink" Target="https://prozorro.gov.ua/tender/UA-2022-06-21-003178-a" TargetMode="External"/><Relationship Id="rId46" Type="http://schemas.openxmlformats.org/officeDocument/2006/relationships/hyperlink" Target="https://prozorro.gov.ua/tender/UA-2022-07-01-005673-a" TargetMode="External"/><Relationship Id="rId59" Type="http://schemas.openxmlformats.org/officeDocument/2006/relationships/hyperlink" Target="https://prozorro.gov.ua/tender/UA-2022-09-16-008376-a" TargetMode="External"/><Relationship Id="rId67" Type="http://schemas.openxmlformats.org/officeDocument/2006/relationships/hyperlink" Target="https://prozorro.gov.ua/tender/UA-2022-10-11-005598-a" TargetMode="External"/><Relationship Id="rId20" Type="http://schemas.openxmlformats.org/officeDocument/2006/relationships/hyperlink" Target="https://prozorro.gov.ua/tender/UA-2022-03-21-001032-a" TargetMode="External"/><Relationship Id="rId41" Type="http://schemas.openxmlformats.org/officeDocument/2006/relationships/hyperlink" Target="https://prozorro.gov.ua/tender/UA-2022-07-06-000137-a" TargetMode="External"/><Relationship Id="rId54" Type="http://schemas.openxmlformats.org/officeDocument/2006/relationships/hyperlink" Target="https://prozorro.gov.ua/tender/UA-2022-09-06-007256-a" TargetMode="External"/><Relationship Id="rId62" Type="http://schemas.openxmlformats.org/officeDocument/2006/relationships/hyperlink" Target="https://prozorro.gov.ua/tender/UA-2022-09-16-008121-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3-02-14-014990-a" TargetMode="External"/><Relationship Id="rId13" Type="http://schemas.openxmlformats.org/officeDocument/2006/relationships/hyperlink" Target="https://prozorro.gov.ua/tender/UA-2023-02-17-001227-a" TargetMode="External"/><Relationship Id="rId18" Type="http://schemas.openxmlformats.org/officeDocument/2006/relationships/hyperlink" Target="https://prozorro.gov.ua/plan/UA-P-2023-03-21-000467-c" TargetMode="External"/><Relationship Id="rId26" Type="http://schemas.openxmlformats.org/officeDocument/2006/relationships/hyperlink" Target="https://prozorro.gov.ua/plan/UA-P-2023-05-15-005169-b" TargetMode="External"/><Relationship Id="rId3" Type="http://schemas.openxmlformats.org/officeDocument/2006/relationships/hyperlink" Target="https://prozorro.gov.ua/tender/UA-2023-02-14-014990-a" TargetMode="External"/><Relationship Id="rId21" Type="http://schemas.openxmlformats.org/officeDocument/2006/relationships/hyperlink" Target="https://prozorro.gov.ua/plan/UA-P-2023-03-21-000467-c" TargetMode="External"/><Relationship Id="rId7" Type="http://schemas.openxmlformats.org/officeDocument/2006/relationships/hyperlink" Target="https://prozorro.gov.ua/tender/UA-2023-02-21-003469-a" TargetMode="External"/><Relationship Id="rId12" Type="http://schemas.openxmlformats.org/officeDocument/2006/relationships/hyperlink" Target="https://prozorro.gov.ua/tender/UA-2023-02-13-007961-a" TargetMode="External"/><Relationship Id="rId17" Type="http://schemas.openxmlformats.org/officeDocument/2006/relationships/hyperlink" Target="https://prozorro.gov.ua/tender/UA-2023-03-15-007710-a" TargetMode="External"/><Relationship Id="rId25" Type="http://schemas.openxmlformats.org/officeDocument/2006/relationships/hyperlink" Target="https://prozorro.gov.ua/tender/UA-2023-02-17-001227-a" TargetMode="External"/><Relationship Id="rId2" Type="http://schemas.openxmlformats.org/officeDocument/2006/relationships/hyperlink" Target="https://prozorro.gov.ua/tender/UA-2023-02-15-008923-a" TargetMode="External"/><Relationship Id="rId16" Type="http://schemas.openxmlformats.org/officeDocument/2006/relationships/hyperlink" Target="https://prozorro.gov.ua/tender/UA-2023-03-15-007710-a" TargetMode="External"/><Relationship Id="rId20" Type="http://schemas.openxmlformats.org/officeDocument/2006/relationships/hyperlink" Target="https://prozorro.gov.ua/plan/UA-P-2023-03-21-000467-c" TargetMode="External"/><Relationship Id="rId1" Type="http://schemas.openxmlformats.org/officeDocument/2006/relationships/hyperlink" Target="https://prozorro.gov.ua/tender/UA-2022-11-15-000746-a" TargetMode="External"/><Relationship Id="rId6" Type="http://schemas.openxmlformats.org/officeDocument/2006/relationships/hyperlink" Target="https://prozorro.gov.ua/tender/UA-2023-02-13-007961-a" TargetMode="External"/><Relationship Id="rId11" Type="http://schemas.openxmlformats.org/officeDocument/2006/relationships/hyperlink" Target="https://prozorro.gov.ua/tender/UA-2023-02-21-003469-a" TargetMode="External"/><Relationship Id="rId24" Type="http://schemas.openxmlformats.org/officeDocument/2006/relationships/hyperlink" Target="https://prozorro.gov.ua/tender/UA-2022-11-15-000746-a" TargetMode="External"/><Relationship Id="rId5" Type="http://schemas.openxmlformats.org/officeDocument/2006/relationships/hyperlink" Target="https://prozorro.gov.ua/tender/UA-2023-02-08-011239-a" TargetMode="External"/><Relationship Id="rId15" Type="http://schemas.openxmlformats.org/officeDocument/2006/relationships/hyperlink" Target="https://prozorro.gov.ua/tender/UA-2023-03-08-007447-a" TargetMode="External"/><Relationship Id="rId23" Type="http://schemas.openxmlformats.org/officeDocument/2006/relationships/hyperlink" Target="https://prozorro.gov.ua/plan/UA-P-2023-05-15-005169-b" TargetMode="External"/><Relationship Id="rId28" Type="http://schemas.openxmlformats.org/officeDocument/2006/relationships/printerSettings" Target="../printerSettings/printerSettings6.bin"/><Relationship Id="rId10" Type="http://schemas.openxmlformats.org/officeDocument/2006/relationships/hyperlink" Target="https://prozorro.gov.ua/tender/UA-2023-02-15-008923-a" TargetMode="External"/><Relationship Id="rId19" Type="http://schemas.openxmlformats.org/officeDocument/2006/relationships/hyperlink" Target="https://prozorro.gov.ua/plan/UA-P-2023-03-21-000467-c" TargetMode="External"/><Relationship Id="rId4" Type="http://schemas.openxmlformats.org/officeDocument/2006/relationships/hyperlink" Target="https://prozorro.gov.ua/tender/UA-2023-02-17-001227-a" TargetMode="External"/><Relationship Id="rId9" Type="http://schemas.openxmlformats.org/officeDocument/2006/relationships/hyperlink" Target="https://prozorro.gov.ua/tender/UA-2023-02-08-011239-a" TargetMode="External"/><Relationship Id="rId14" Type="http://schemas.openxmlformats.org/officeDocument/2006/relationships/hyperlink" Target="https://prozorro.gov.ua/tender/UA-2023-03-02-006915-a" TargetMode="External"/><Relationship Id="rId22" Type="http://schemas.openxmlformats.org/officeDocument/2006/relationships/hyperlink" Target="https://prozorro.gov.ua/tender/UA-2023-04-07-009129-a" TargetMode="External"/><Relationship Id="rId27" Type="http://schemas.openxmlformats.org/officeDocument/2006/relationships/hyperlink" Target="https://prozorro.gov.ua/plan/UA-P-2023-05-15-005169-b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zs.dkpp.rv.ua/index.php?level=15610000-7" TargetMode="External"/><Relationship Id="rId13" Type="http://schemas.openxmlformats.org/officeDocument/2006/relationships/hyperlink" Target="https://ezs.dkpp.rv.ua/index.php?level=15850000-1" TargetMode="External"/><Relationship Id="rId18" Type="http://schemas.openxmlformats.org/officeDocument/2006/relationships/hyperlink" Target="https://ezs.dkpp.rv.ua/index.php?level=15860000-4" TargetMode="External"/><Relationship Id="rId26" Type="http://schemas.openxmlformats.org/officeDocument/2006/relationships/hyperlink" Target="https://ezs.dkpp.rv.ua/index.php?level=15890000-3" TargetMode="External"/><Relationship Id="rId3" Type="http://schemas.openxmlformats.org/officeDocument/2006/relationships/hyperlink" Target="https://ezs.dkpp.rv.ua/index.php?search=03220000-9&amp;type=code" TargetMode="External"/><Relationship Id="rId21" Type="http://schemas.openxmlformats.org/officeDocument/2006/relationships/hyperlink" Target="https://ezs.dkpp.rv.ua/index.php?search=03220000-9&amp;type=code" TargetMode="External"/><Relationship Id="rId7" Type="http://schemas.openxmlformats.org/officeDocument/2006/relationships/hyperlink" Target="https://ezs.dkpp.rv.ua/index.php?search=15610000-7&amp;type=code" TargetMode="External"/><Relationship Id="rId12" Type="http://schemas.openxmlformats.org/officeDocument/2006/relationships/hyperlink" Target="https://ezs.dkpp.rv.ua/index.php?search=15850000-1&amp;type=code" TargetMode="External"/><Relationship Id="rId17" Type="http://schemas.openxmlformats.org/officeDocument/2006/relationships/hyperlink" Target="https://ezs.dkpp.rv.ua/index.php?search=15860000-4&amp;type=code" TargetMode="External"/><Relationship Id="rId25" Type="http://schemas.openxmlformats.org/officeDocument/2006/relationships/hyperlink" Target="https://ezs.dkpp.rv.ua/index.php?search=15890000-3&amp;type=code" TargetMode="External"/><Relationship Id="rId33" Type="http://schemas.openxmlformats.org/officeDocument/2006/relationships/printerSettings" Target="../printerSettings/printerSettings7.bin"/><Relationship Id="rId2" Type="http://schemas.openxmlformats.org/officeDocument/2006/relationships/hyperlink" Target="https://ezs.dkpp.rv.ua/index.php?level=15510000-6" TargetMode="External"/><Relationship Id="rId16" Type="http://schemas.openxmlformats.org/officeDocument/2006/relationships/hyperlink" Target="https://prozorro.gov.ua/tender/UA-2021-04-09-007264-a" TargetMode="External"/><Relationship Id="rId20" Type="http://schemas.openxmlformats.org/officeDocument/2006/relationships/hyperlink" Target="https://ezs.dkpp.rv.ua/index.php?level=03220000-9" TargetMode="External"/><Relationship Id="rId29" Type="http://schemas.openxmlformats.org/officeDocument/2006/relationships/hyperlink" Target="https://ezs.dkpp.rv.ua/index.php?search=15610000-7&amp;type=code" TargetMode="External"/><Relationship Id="rId1" Type="http://schemas.openxmlformats.org/officeDocument/2006/relationships/hyperlink" Target="https://ezs.dkpp.rv.ua/index.php?search=15510000-6&amp;type=code" TargetMode="External"/><Relationship Id="rId6" Type="http://schemas.openxmlformats.org/officeDocument/2006/relationships/hyperlink" Target="https://ezs.dkpp.rv.ua/index.php?level=15610000-7" TargetMode="External"/><Relationship Id="rId11" Type="http://schemas.openxmlformats.org/officeDocument/2006/relationships/hyperlink" Target="https://ezs.dkpp.rv.ua/index.php?level=15610000-7" TargetMode="External"/><Relationship Id="rId24" Type="http://schemas.openxmlformats.org/officeDocument/2006/relationships/hyperlink" Target="https://ezs.dkpp.rv.ua/index.php?level=15610000-7" TargetMode="External"/><Relationship Id="rId32" Type="http://schemas.openxmlformats.org/officeDocument/2006/relationships/hyperlink" Target="https://ezs.dkpp.rv.ua/index.php?level=03220000-9" TargetMode="External"/><Relationship Id="rId5" Type="http://schemas.openxmlformats.org/officeDocument/2006/relationships/hyperlink" Target="https://ezs.dkpp.rv.ua/index.php?search=15610000-7&amp;type=code" TargetMode="External"/><Relationship Id="rId15" Type="http://schemas.openxmlformats.org/officeDocument/2006/relationships/hyperlink" Target="https://ezs.dkpp.rv.ua/index.php?search=15610000-7&amp;type=code" TargetMode="External"/><Relationship Id="rId23" Type="http://schemas.openxmlformats.org/officeDocument/2006/relationships/hyperlink" Target="https://ezs.dkpp.rv.ua/index.php?search=15610000-7&amp;type=code" TargetMode="External"/><Relationship Id="rId28" Type="http://schemas.openxmlformats.org/officeDocument/2006/relationships/hyperlink" Target="https://ezs.dkpp.rv.ua/index.php?level=15330000-0" TargetMode="External"/><Relationship Id="rId10" Type="http://schemas.openxmlformats.org/officeDocument/2006/relationships/hyperlink" Target="https://ezs.dkpp.rv.ua/index.php?search=15610000-7&amp;type=code" TargetMode="External"/><Relationship Id="rId19" Type="http://schemas.openxmlformats.org/officeDocument/2006/relationships/hyperlink" Target="https://ezs.dkpp.rv.ua/index.php?search=03220000-9&amp;type=code" TargetMode="External"/><Relationship Id="rId31" Type="http://schemas.openxmlformats.org/officeDocument/2006/relationships/hyperlink" Target="https://ezs.dkpp.rv.ua/index.php?search=03220000-9&amp;type=code" TargetMode="External"/><Relationship Id="rId4" Type="http://schemas.openxmlformats.org/officeDocument/2006/relationships/hyperlink" Target="https://ezs.dkpp.rv.ua/index.php?level=03220000-9" TargetMode="External"/><Relationship Id="rId9" Type="http://schemas.openxmlformats.org/officeDocument/2006/relationships/hyperlink" Target="https://ezs.dkpp.rv.ua/index.php?search=15610000-7&amp;type=code" TargetMode="External"/><Relationship Id="rId14" Type="http://schemas.openxmlformats.org/officeDocument/2006/relationships/hyperlink" Target="https://ezs.dkpp.rv.ua/index.php?level=15610000-7" TargetMode="External"/><Relationship Id="rId22" Type="http://schemas.openxmlformats.org/officeDocument/2006/relationships/hyperlink" Target="https://ezs.dkpp.rv.ua/index.php?level=03220000-9" TargetMode="External"/><Relationship Id="rId27" Type="http://schemas.openxmlformats.org/officeDocument/2006/relationships/hyperlink" Target="https://ezs.dkpp.rv.ua/index.php?search=15330000-0&amp;type=code" TargetMode="External"/><Relationship Id="rId30" Type="http://schemas.openxmlformats.org/officeDocument/2006/relationships/hyperlink" Target="https://ezs.dkpp.rv.ua/index.php?level=15610000-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V366"/>
  <sheetViews>
    <sheetView showGridLines="0" tabSelected="1" view="pageBreakPreview" zoomScale="50" zoomScaleNormal="75" zoomScaleSheetLayoutView="50" workbookViewId="0">
      <selection activeCell="I78" sqref="I78"/>
    </sheetView>
  </sheetViews>
  <sheetFormatPr defaultColWidth="93.140625" defaultRowHeight="23.25"/>
  <cols>
    <col min="1" max="1" width="7.28515625" style="2" customWidth="1"/>
    <col min="2" max="2" width="123.28515625" style="1" customWidth="1"/>
    <col min="3" max="3" width="13.42578125" style="402" bestFit="1" customWidth="1"/>
    <col min="4" max="4" width="18.140625" style="402" hidden="1" customWidth="1"/>
    <col min="5" max="5" width="22.85546875" style="402" customWidth="1"/>
    <col min="6" max="6" width="27.42578125" style="402" hidden="1" customWidth="1"/>
    <col min="7" max="7" width="29.5703125" style="1" customWidth="1"/>
    <col min="8" max="8" width="25.140625" style="1" customWidth="1"/>
    <col min="9" max="9" width="25.7109375" style="1" customWidth="1"/>
    <col min="10" max="10" width="29.140625" style="1" customWidth="1"/>
    <col min="11" max="11" width="25.42578125" style="1" customWidth="1"/>
    <col min="12" max="12" width="23.28515625" style="634" hidden="1" customWidth="1"/>
    <col min="13" max="13" width="31.85546875" style="2" hidden="1" customWidth="1"/>
    <col min="14" max="14" width="28.85546875" style="2" hidden="1" customWidth="1"/>
    <col min="15" max="18" width="20.140625" style="2" hidden="1" customWidth="1"/>
    <col min="19" max="19" width="9.140625" style="2" hidden="1" customWidth="1"/>
    <col min="20" max="20" width="17" style="2" hidden="1" customWidth="1"/>
    <col min="21" max="224" width="9.140625" style="2" customWidth="1"/>
    <col min="225" max="16384" width="93.140625" style="2"/>
  </cols>
  <sheetData>
    <row r="1" spans="2:12" s="1" customFormat="1">
      <c r="B1" s="398"/>
      <c r="C1" s="399"/>
      <c r="D1" s="399"/>
      <c r="E1" s="399"/>
      <c r="F1" s="399"/>
      <c r="G1" s="399"/>
      <c r="L1" s="634"/>
    </row>
    <row r="2" spans="2:12" s="1" customFormat="1" ht="26.25">
      <c r="B2" s="398"/>
      <c r="C2" s="399" t="s">
        <v>1498</v>
      </c>
      <c r="D2" s="399"/>
      <c r="E2" s="399"/>
      <c r="F2" s="399"/>
      <c r="G2" s="399"/>
      <c r="H2" s="456" t="s">
        <v>1756</v>
      </c>
      <c r="I2" s="448"/>
      <c r="J2" s="456"/>
      <c r="K2" s="456"/>
      <c r="L2" s="634"/>
    </row>
    <row r="3" spans="2:12" s="1" customFormat="1" ht="26.25">
      <c r="B3" s="398"/>
      <c r="C3" s="399"/>
      <c r="D3" s="399"/>
      <c r="E3" s="399"/>
      <c r="F3" s="399"/>
      <c r="G3" s="399"/>
      <c r="H3" s="448" t="s">
        <v>1753</v>
      </c>
      <c r="I3" s="448"/>
      <c r="J3" s="457"/>
      <c r="K3" s="457"/>
      <c r="L3" s="634"/>
    </row>
    <row r="4" spans="2:12" s="1" customFormat="1" ht="26.25">
      <c r="B4" s="398"/>
      <c r="C4" s="399"/>
      <c r="D4" s="399"/>
      <c r="E4" s="399"/>
      <c r="F4" s="399"/>
      <c r="G4" s="399"/>
      <c r="H4" s="448" t="s">
        <v>309</v>
      </c>
      <c r="I4" s="448"/>
      <c r="J4" s="457"/>
      <c r="K4" s="457"/>
      <c r="L4" s="634"/>
    </row>
    <row r="5" spans="2:12" s="1" customFormat="1" ht="26.25">
      <c r="B5" s="400"/>
      <c r="H5" s="458" t="s">
        <v>1396</v>
      </c>
      <c r="I5" s="459"/>
      <c r="J5" s="458"/>
      <c r="K5" s="458"/>
      <c r="L5" s="634"/>
    </row>
    <row r="6" spans="2:12" s="1" customFormat="1" ht="26.25">
      <c r="B6" s="398"/>
      <c r="C6" s="399"/>
      <c r="D6" s="399"/>
      <c r="E6" s="399"/>
      <c r="F6" s="399"/>
      <c r="G6" s="399"/>
      <c r="H6" s="448" t="s">
        <v>1501</v>
      </c>
      <c r="I6" s="448"/>
      <c r="J6" s="448"/>
      <c r="K6" s="448"/>
      <c r="L6" s="634"/>
    </row>
    <row r="7" spans="2:12" s="1" customFormat="1" ht="26.25">
      <c r="B7" s="401"/>
      <c r="C7" s="399"/>
      <c r="D7" s="399"/>
      <c r="E7" s="399"/>
      <c r="F7" s="399"/>
      <c r="G7" s="399"/>
      <c r="H7" s="459"/>
      <c r="I7" s="459"/>
      <c r="J7" s="460" t="s">
        <v>1397</v>
      </c>
      <c r="K7" s="458"/>
      <c r="L7" s="634"/>
    </row>
    <row r="8" spans="2:12" ht="26.25">
      <c r="B8" s="59"/>
      <c r="H8" s="448" t="s">
        <v>1754</v>
      </c>
      <c r="I8" s="448"/>
      <c r="J8" s="448"/>
      <c r="K8" s="448"/>
    </row>
    <row r="9" spans="2:12" ht="26.25">
      <c r="H9" s="458"/>
      <c r="I9" s="459"/>
      <c r="J9" s="458"/>
      <c r="K9" s="456"/>
    </row>
    <row r="10" spans="2:12">
      <c r="H10" s="403" t="s">
        <v>1502</v>
      </c>
      <c r="I10" s="403"/>
      <c r="J10" s="403"/>
      <c r="K10" s="399"/>
    </row>
    <row r="12" spans="2:12">
      <c r="I12" s="965" t="s">
        <v>1503</v>
      </c>
      <c r="J12" s="965"/>
      <c r="K12" s="408"/>
    </row>
    <row r="13" spans="2:12">
      <c r="I13" s="961" t="s">
        <v>1504</v>
      </c>
      <c r="J13" s="961"/>
      <c r="K13" s="404"/>
    </row>
    <row r="14" spans="2:12">
      <c r="I14" s="961" t="s">
        <v>1505</v>
      </c>
      <c r="J14" s="961"/>
      <c r="K14" s="404"/>
    </row>
    <row r="15" spans="2:12">
      <c r="I15" s="961" t="s">
        <v>1506</v>
      </c>
      <c r="J15" s="961"/>
      <c r="K15" s="404" t="s">
        <v>1591</v>
      </c>
    </row>
    <row r="16" spans="2:12">
      <c r="I16" s="956" t="s">
        <v>1507</v>
      </c>
      <c r="J16" s="956"/>
      <c r="K16" s="956"/>
    </row>
    <row r="18" spans="2:11">
      <c r="B18" s="405" t="s">
        <v>1508</v>
      </c>
      <c r="C18" s="962">
        <v>2024</v>
      </c>
      <c r="D18" s="963"/>
      <c r="E18" s="963"/>
      <c r="F18" s="963"/>
      <c r="G18" s="963"/>
      <c r="H18" s="964"/>
      <c r="I18" s="956" t="s">
        <v>1509</v>
      </c>
      <c r="J18" s="956"/>
      <c r="K18" s="956"/>
    </row>
    <row r="19" spans="2:11" ht="69.95" customHeight="1">
      <c r="B19" s="406" t="s">
        <v>1603</v>
      </c>
      <c r="C19" s="950" t="s">
        <v>1684</v>
      </c>
      <c r="D19" s="950"/>
      <c r="E19" s="950"/>
      <c r="F19" s="950"/>
      <c r="G19" s="957"/>
      <c r="H19" s="957"/>
      <c r="I19" s="961" t="s">
        <v>1510</v>
      </c>
      <c r="J19" s="961"/>
      <c r="K19" s="407" t="s">
        <v>1393</v>
      </c>
    </row>
    <row r="20" spans="2:11">
      <c r="B20" s="406" t="s">
        <v>1511</v>
      </c>
      <c r="C20" s="950" t="s">
        <v>1389</v>
      </c>
      <c r="D20" s="950"/>
      <c r="E20" s="950"/>
      <c r="F20" s="950"/>
      <c r="G20" s="960"/>
      <c r="H20" s="960"/>
      <c r="I20" s="961" t="s">
        <v>1512</v>
      </c>
      <c r="J20" s="961"/>
      <c r="K20" s="404">
        <v>150</v>
      </c>
    </row>
    <row r="21" spans="2:11">
      <c r="B21" s="406" t="s">
        <v>1513</v>
      </c>
      <c r="C21" s="950" t="s">
        <v>1392</v>
      </c>
      <c r="D21" s="950"/>
      <c r="E21" s="950"/>
      <c r="F21" s="950"/>
      <c r="G21" s="957"/>
      <c r="H21" s="957"/>
      <c r="I21" s="961" t="s">
        <v>1514</v>
      </c>
      <c r="J21" s="961"/>
      <c r="K21" s="407" t="s">
        <v>1394</v>
      </c>
    </row>
    <row r="22" spans="2:11">
      <c r="B22" s="406" t="s">
        <v>733</v>
      </c>
      <c r="C22" s="950" t="s">
        <v>1390</v>
      </c>
      <c r="D22" s="950"/>
      <c r="E22" s="950"/>
      <c r="F22" s="950"/>
      <c r="G22" s="957"/>
      <c r="H22" s="957"/>
      <c r="I22" s="961" t="s">
        <v>1391</v>
      </c>
      <c r="J22" s="961"/>
      <c r="K22" s="404">
        <v>17184</v>
      </c>
    </row>
    <row r="23" spans="2:11">
      <c r="B23" s="406" t="s">
        <v>1515</v>
      </c>
      <c r="C23" s="950"/>
      <c r="D23" s="950"/>
      <c r="E23" s="950"/>
      <c r="F23" s="950"/>
      <c r="G23" s="957"/>
      <c r="H23" s="957"/>
      <c r="I23" s="961" t="s">
        <v>1516</v>
      </c>
      <c r="J23" s="961"/>
      <c r="K23" s="404"/>
    </row>
    <row r="24" spans="2:11">
      <c r="B24" s="406" t="s">
        <v>1517</v>
      </c>
      <c r="C24" s="946" t="s">
        <v>1676</v>
      </c>
      <c r="D24" s="946"/>
      <c r="E24" s="946"/>
      <c r="F24" s="946"/>
      <c r="G24" s="946"/>
      <c r="H24" s="957"/>
      <c r="I24" s="961" t="s">
        <v>1518</v>
      </c>
      <c r="J24" s="961"/>
      <c r="K24" s="404" t="s">
        <v>1680</v>
      </c>
    </row>
    <row r="25" spans="2:11">
      <c r="B25" s="406" t="s">
        <v>1519</v>
      </c>
      <c r="C25" s="946" t="s">
        <v>1340</v>
      </c>
      <c r="D25" s="946"/>
      <c r="E25" s="946"/>
      <c r="F25" s="946"/>
      <c r="G25" s="946"/>
      <c r="H25" s="957"/>
      <c r="I25" s="961"/>
      <c r="J25" s="961"/>
      <c r="K25" s="408"/>
    </row>
    <row r="26" spans="2:11">
      <c r="B26" s="406" t="s">
        <v>1520</v>
      </c>
      <c r="C26" s="946" t="s">
        <v>1677</v>
      </c>
      <c r="D26" s="946"/>
      <c r="E26" s="946"/>
      <c r="F26" s="946"/>
      <c r="G26" s="946"/>
      <c r="H26" s="960"/>
      <c r="I26" s="961"/>
      <c r="J26" s="961"/>
      <c r="K26" s="408"/>
    </row>
    <row r="27" spans="2:11">
      <c r="B27" s="406" t="s">
        <v>1521</v>
      </c>
      <c r="C27" s="948">
        <f>E127</f>
        <v>241.25</v>
      </c>
      <c r="D27" s="949"/>
      <c r="E27" s="949"/>
      <c r="F27" s="949"/>
      <c r="G27" s="949"/>
      <c r="H27" s="950"/>
      <c r="I27" s="946" t="s">
        <v>1522</v>
      </c>
      <c r="J27" s="946"/>
      <c r="K27" s="409"/>
    </row>
    <row r="28" spans="2:11" ht="44.25" customHeight="1">
      <c r="B28" s="406" t="s">
        <v>1523</v>
      </c>
      <c r="C28" s="954" t="s">
        <v>1678</v>
      </c>
      <c r="D28" s="954"/>
      <c r="E28" s="954"/>
      <c r="F28" s="954"/>
      <c r="G28" s="954"/>
      <c r="H28" s="954"/>
      <c r="I28" s="946" t="s">
        <v>1524</v>
      </c>
      <c r="J28" s="946"/>
      <c r="K28" s="410"/>
    </row>
    <row r="29" spans="2:11">
      <c r="B29" s="406" t="s">
        <v>1525</v>
      </c>
      <c r="C29" s="946" t="s">
        <v>1277</v>
      </c>
      <c r="D29" s="946"/>
      <c r="E29" s="946"/>
      <c r="F29" s="946"/>
      <c r="G29" s="946"/>
      <c r="H29" s="947"/>
      <c r="I29" s="946"/>
      <c r="J29" s="946"/>
      <c r="K29" s="410"/>
    </row>
    <row r="30" spans="2:11">
      <c r="B30" s="406" t="s">
        <v>1604</v>
      </c>
      <c r="C30" s="946" t="s">
        <v>1679</v>
      </c>
      <c r="D30" s="946"/>
      <c r="E30" s="946"/>
      <c r="F30" s="946"/>
      <c r="G30" s="946"/>
      <c r="H30" s="947"/>
      <c r="I30" s="946"/>
      <c r="J30" s="946"/>
      <c r="K30" s="408"/>
    </row>
    <row r="32" spans="2:11">
      <c r="B32" s="955" t="s">
        <v>302</v>
      </c>
      <c r="C32" s="955"/>
      <c r="D32" s="955"/>
      <c r="E32" s="955"/>
      <c r="F32" s="955"/>
      <c r="G32" s="955"/>
      <c r="H32" s="955"/>
      <c r="I32" s="955"/>
      <c r="J32" s="955"/>
      <c r="K32" s="955"/>
    </row>
    <row r="33" spans="2:22">
      <c r="B33" s="411"/>
      <c r="C33" s="412"/>
      <c r="D33" s="411"/>
      <c r="E33" s="411"/>
      <c r="F33" s="411"/>
      <c r="G33" s="411"/>
      <c r="H33" s="411"/>
      <c r="I33" s="411"/>
      <c r="J33" s="411"/>
      <c r="K33" s="411"/>
    </row>
    <row r="34" spans="2:22">
      <c r="B34" s="956" t="s">
        <v>1526</v>
      </c>
      <c r="C34" s="938" t="s">
        <v>1527</v>
      </c>
      <c r="D34" s="938" t="s">
        <v>1388</v>
      </c>
      <c r="E34" s="938" t="s">
        <v>1599</v>
      </c>
      <c r="F34" s="938" t="s">
        <v>1528</v>
      </c>
      <c r="G34" s="938" t="s">
        <v>1529</v>
      </c>
      <c r="H34" s="938" t="s">
        <v>1600</v>
      </c>
      <c r="I34" s="938"/>
      <c r="J34" s="938"/>
      <c r="K34" s="938"/>
      <c r="L34" s="635"/>
    </row>
    <row r="35" spans="2:22" ht="107.25" customHeight="1">
      <c r="B35" s="956"/>
      <c r="C35" s="938"/>
      <c r="D35" s="938"/>
      <c r="E35" s="938"/>
      <c r="F35" s="938"/>
      <c r="G35" s="938"/>
      <c r="H35" s="413" t="s">
        <v>1530</v>
      </c>
      <c r="I35" s="413" t="s">
        <v>1531</v>
      </c>
      <c r="J35" s="413" t="s">
        <v>1532</v>
      </c>
      <c r="K35" s="413" t="s">
        <v>1533</v>
      </c>
      <c r="L35" s="635"/>
    </row>
    <row r="36" spans="2:22" ht="21.75" customHeight="1">
      <c r="B36" s="404">
        <v>1</v>
      </c>
      <c r="C36" s="409">
        <v>2</v>
      </c>
      <c r="D36" s="409"/>
      <c r="E36" s="409">
        <v>3</v>
      </c>
      <c r="F36" s="409"/>
      <c r="G36" s="409">
        <v>3</v>
      </c>
      <c r="H36" s="409">
        <v>4</v>
      </c>
      <c r="I36" s="409">
        <v>5</v>
      </c>
      <c r="J36" s="409">
        <v>6</v>
      </c>
      <c r="K36" s="409">
        <v>7</v>
      </c>
      <c r="L36" s="635"/>
      <c r="N36" s="2">
        <v>3</v>
      </c>
      <c r="O36" s="2">
        <v>4</v>
      </c>
      <c r="P36" s="2">
        <v>5</v>
      </c>
      <c r="Q36" s="2">
        <v>6</v>
      </c>
      <c r="R36" s="2">
        <v>7</v>
      </c>
    </row>
    <row r="37" spans="2:22" ht="21.75" customHeight="1">
      <c r="B37" s="944" t="s">
        <v>1601</v>
      </c>
      <c r="C37" s="944"/>
      <c r="D37" s="944"/>
      <c r="E37" s="944"/>
      <c r="F37" s="944"/>
      <c r="G37" s="944"/>
      <c r="H37" s="944"/>
      <c r="I37" s="944"/>
      <c r="J37" s="944"/>
      <c r="K37" s="944"/>
      <c r="L37" s="635"/>
    </row>
    <row r="38" spans="2:22" s="3" customFormat="1" ht="21.75" customHeight="1">
      <c r="B38" s="944" t="s">
        <v>1534</v>
      </c>
      <c r="C38" s="944"/>
      <c r="D38" s="944"/>
      <c r="E38" s="944"/>
      <c r="F38" s="944"/>
      <c r="G38" s="944"/>
      <c r="H38" s="944"/>
      <c r="I38" s="944"/>
      <c r="J38" s="944"/>
      <c r="K38" s="944"/>
      <c r="L38" s="636"/>
    </row>
    <row r="39" spans="2:22" s="3" customFormat="1" ht="30.75" customHeight="1">
      <c r="B39" s="699" t="s">
        <v>1535</v>
      </c>
      <c r="C39" s="414">
        <v>1010</v>
      </c>
      <c r="D39" s="415"/>
      <c r="E39" s="416">
        <v>40059755</v>
      </c>
      <c r="F39" s="416">
        <f>E39</f>
        <v>40059755</v>
      </c>
      <c r="G39" s="417">
        <f>H39+I39+J39+K39</f>
        <v>42491462.379999995</v>
      </c>
      <c r="H39" s="417">
        <f ca="1">Доходи!D4+Доходи!D30+Доходи!D31</f>
        <v>11983602.899999999</v>
      </c>
      <c r="I39" s="417">
        <f ca="1">Доходи!E4+Доходи!E30+Доходи!E31</f>
        <v>10641211.539999999</v>
      </c>
      <c r="J39" s="417">
        <f ca="1">Доходи!F4+Доходи!F30+Доходи!F31</f>
        <v>9217391.9199999999</v>
      </c>
      <c r="K39" s="417">
        <f ca="1">Доходи!G4+Доходи!G30+Доходи!G31</f>
        <v>10649256.019999998</v>
      </c>
      <c r="L39" s="637">
        <f t="shared" ref="L39:L70" si="0">G39-M39</f>
        <v>-13410576.450000003</v>
      </c>
      <c r="M39" s="384">
        <v>55902038.829999998</v>
      </c>
      <c r="N39" s="384">
        <v>55902038.829999998</v>
      </c>
      <c r="O39" s="384">
        <v>14142180.530000001</v>
      </c>
      <c r="P39" s="384">
        <v>14248228.220000001</v>
      </c>
      <c r="Q39" s="384">
        <v>13995171.02</v>
      </c>
      <c r="R39" s="384">
        <v>13516459.060000001</v>
      </c>
      <c r="T39" s="384">
        <f t="shared" ref="T39:T70" si="1">H39-O39</f>
        <v>-2158577.6300000027</v>
      </c>
    </row>
    <row r="40" spans="2:22" s="3" customFormat="1" ht="21.75" customHeight="1">
      <c r="B40" s="699" t="s">
        <v>1461</v>
      </c>
      <c r="C40" s="414">
        <v>1020</v>
      </c>
      <c r="D40" s="418">
        <f>SUM(D41:D43)</f>
        <v>0</v>
      </c>
      <c r="E40" s="416">
        <v>7546292</v>
      </c>
      <c r="F40" s="416">
        <f t="shared" ref="F40:F53" si="2">E40</f>
        <v>7546292</v>
      </c>
      <c r="G40" s="417">
        <f>H40+I40+J40+K40</f>
        <v>5296153.1524044964</v>
      </c>
      <c r="H40" s="417">
        <f ca="1">SUM(H41:H43)</f>
        <v>2052961.0085689947</v>
      </c>
      <c r="I40" s="417">
        <f ca="1">SUM(I41:I43)</f>
        <v>799926.16065612098</v>
      </c>
      <c r="J40" s="417">
        <f ca="1">SUM(J41:J43)</f>
        <v>551373.28290209954</v>
      </c>
      <c r="K40" s="417">
        <f ca="1">SUM(K41:K43)</f>
        <v>1891892.7002772815</v>
      </c>
      <c r="L40" s="637">
        <f t="shared" si="0"/>
        <v>-293185.42149130628</v>
      </c>
      <c r="M40" s="384">
        <v>5589338.5738958027</v>
      </c>
      <c r="N40" s="384">
        <v>5589338.5738958027</v>
      </c>
      <c r="O40" s="384">
        <v>2272670.4741830165</v>
      </c>
      <c r="P40" s="384">
        <v>775787.69058346737</v>
      </c>
      <c r="Q40" s="384">
        <v>478008.10506355757</v>
      </c>
      <c r="R40" s="384">
        <v>2062872.3040657612</v>
      </c>
      <c r="T40" s="384">
        <f t="shared" si="1"/>
        <v>-219709.46561402176</v>
      </c>
    </row>
    <row r="41" spans="2:22" ht="21.75" customHeight="1">
      <c r="B41" s="701" t="s">
        <v>120</v>
      </c>
      <c r="C41" s="420">
        <v>1021</v>
      </c>
      <c r="D41" s="421"/>
      <c r="E41" s="422">
        <v>5102966</v>
      </c>
      <c r="F41" s="422">
        <f t="shared" si="2"/>
        <v>5102966</v>
      </c>
      <c r="G41" s="714">
        <f>H41+I41+J41+K41</f>
        <v>5296153.1524044964</v>
      </c>
      <c r="H41" s="428">
        <f ca="1">Доходи!D27</f>
        <v>2052961.0085689947</v>
      </c>
      <c r="I41" s="428">
        <f ca="1">Доходи!E27</f>
        <v>799926.16065612098</v>
      </c>
      <c r="J41" s="428">
        <f ca="1">Доходи!F27</f>
        <v>551373.28290209954</v>
      </c>
      <c r="K41" s="428">
        <f ca="1">Доходи!G27</f>
        <v>1891892.7002772815</v>
      </c>
      <c r="L41" s="637">
        <f t="shared" si="0"/>
        <v>-293185.42149130628</v>
      </c>
      <c r="M41" s="393">
        <v>5589338.5738958027</v>
      </c>
      <c r="N41" s="393">
        <v>5589338.5738958027</v>
      </c>
      <c r="O41" s="393">
        <v>2272670.4741830165</v>
      </c>
      <c r="P41" s="393">
        <v>775787.69058346737</v>
      </c>
      <c r="Q41" s="393">
        <v>478008.10506355757</v>
      </c>
      <c r="R41" s="393">
        <v>2062872.3040657612</v>
      </c>
      <c r="T41" s="384">
        <f t="shared" si="1"/>
        <v>-219709.46561402176</v>
      </c>
      <c r="V41" s="3"/>
    </row>
    <row r="42" spans="2:22" s="3" customFormat="1" ht="22.5" customHeight="1">
      <c r="B42" s="705" t="s">
        <v>1544</v>
      </c>
      <c r="C42" s="420">
        <v>1022</v>
      </c>
      <c r="D42" s="421"/>
      <c r="E42" s="422">
        <v>0</v>
      </c>
      <c r="F42" s="422">
        <f t="shared" si="2"/>
        <v>0</v>
      </c>
      <c r="G42" s="423">
        <f t="shared" ref="G42:G50" si="3">H42+I42+J42+K42</f>
        <v>0</v>
      </c>
      <c r="H42" s="423">
        <f ca="1">Доходи!D28</f>
        <v>0</v>
      </c>
      <c r="I42" s="423">
        <f ca="1">Доходи!E28</f>
        <v>0</v>
      </c>
      <c r="J42" s="423">
        <f ca="1">Доходи!F28</f>
        <v>0</v>
      </c>
      <c r="K42" s="423">
        <f ca="1">Доходи!G28</f>
        <v>0</v>
      </c>
      <c r="L42" s="637">
        <f t="shared" si="0"/>
        <v>0</v>
      </c>
      <c r="M42" s="384">
        <v>0</v>
      </c>
      <c r="N42" s="384">
        <v>0</v>
      </c>
      <c r="O42" s="384">
        <v>0</v>
      </c>
      <c r="P42" s="384">
        <v>0</v>
      </c>
      <c r="Q42" s="384">
        <v>0</v>
      </c>
      <c r="R42" s="384">
        <v>0</v>
      </c>
      <c r="T42" s="384">
        <f t="shared" si="1"/>
        <v>0</v>
      </c>
    </row>
    <row r="43" spans="2:22" s="3" customFormat="1" ht="21.75" customHeight="1">
      <c r="B43" s="647" t="s">
        <v>117</v>
      </c>
      <c r="C43" s="420">
        <v>1023</v>
      </c>
      <c r="D43" s="421"/>
      <c r="E43" s="422">
        <v>2443326</v>
      </c>
      <c r="F43" s="422">
        <f t="shared" si="2"/>
        <v>2443326</v>
      </c>
      <c r="G43" s="423">
        <f>H43+I43+J43+K43</f>
        <v>0</v>
      </c>
      <c r="H43" s="423">
        <f ca="1">Доходи!D29</f>
        <v>0</v>
      </c>
      <c r="I43" s="423">
        <f ca="1">Доходи!E29</f>
        <v>0</v>
      </c>
      <c r="J43" s="423">
        <f ca="1">Доходи!F29</f>
        <v>0</v>
      </c>
      <c r="K43" s="423">
        <f ca="1">Доходи!G29</f>
        <v>0</v>
      </c>
      <c r="L43" s="637">
        <f t="shared" si="0"/>
        <v>0</v>
      </c>
      <c r="M43" s="384">
        <v>0</v>
      </c>
      <c r="N43" s="384">
        <v>0</v>
      </c>
      <c r="O43" s="384">
        <v>0</v>
      </c>
      <c r="P43" s="384">
        <v>0</v>
      </c>
      <c r="Q43" s="384">
        <v>0</v>
      </c>
      <c r="R43" s="384">
        <v>0</v>
      </c>
      <c r="T43" s="384">
        <f t="shared" si="1"/>
        <v>0</v>
      </c>
    </row>
    <row r="44" spans="2:22" s="3" customFormat="1" ht="21.75" customHeight="1">
      <c r="B44" s="699" t="s">
        <v>1628</v>
      </c>
      <c r="C44" s="414">
        <v>1030</v>
      </c>
      <c r="D44" s="418">
        <f>SUM(D45:D47)</f>
        <v>0</v>
      </c>
      <c r="E44" s="416">
        <v>858000</v>
      </c>
      <c r="F44" s="416">
        <f t="shared" si="2"/>
        <v>858000</v>
      </c>
      <c r="G44" s="417">
        <f>H44+I44+J44+K44</f>
        <v>1116153.5503731866</v>
      </c>
      <c r="H44" s="417">
        <f ca="1">SUM(H45:H47)+Доходи!D35</f>
        <v>419524.53164317436</v>
      </c>
      <c r="I44" s="417">
        <f ca="1">SUM(I45:I47)+Доходи!E35</f>
        <v>187129.67215833784</v>
      </c>
      <c r="J44" s="417">
        <f ca="1">SUM(J45:J47)+Доходи!F35</f>
        <v>146143.33356612513</v>
      </c>
      <c r="K44" s="417">
        <f ca="1">SUM(K45:K47)+Доходи!G35</f>
        <v>363356.0130055492</v>
      </c>
      <c r="L44" s="637">
        <f t="shared" si="0"/>
        <v>258153.55037318659</v>
      </c>
      <c r="M44" s="384">
        <v>858000</v>
      </c>
      <c r="N44" s="384">
        <v>858000</v>
      </c>
      <c r="O44" s="384">
        <v>214500</v>
      </c>
      <c r="P44" s="384">
        <v>214500</v>
      </c>
      <c r="Q44" s="384">
        <v>214500</v>
      </c>
      <c r="R44" s="384">
        <v>214500</v>
      </c>
      <c r="T44" s="384">
        <f t="shared" si="1"/>
        <v>205024.53164317436</v>
      </c>
    </row>
    <row r="45" spans="2:22" s="3" customFormat="1" ht="21.75" customHeight="1">
      <c r="B45" s="419" t="s">
        <v>1536</v>
      </c>
      <c r="C45" s="424">
        <v>1031</v>
      </c>
      <c r="D45" s="421"/>
      <c r="E45" s="422">
        <v>846000</v>
      </c>
      <c r="F45" s="422">
        <f t="shared" si="2"/>
        <v>846000</v>
      </c>
      <c r="G45" s="423">
        <f t="shared" si="3"/>
        <v>1104153.5503731866</v>
      </c>
      <c r="H45" s="423">
        <f ca="1">Доходи!D32</f>
        <v>416524.53164317436</v>
      </c>
      <c r="I45" s="423">
        <f ca="1">Доходи!E32</f>
        <v>184129.67215833784</v>
      </c>
      <c r="J45" s="423">
        <f ca="1">Доходи!F32</f>
        <v>143143.33356612513</v>
      </c>
      <c r="K45" s="423">
        <f ca="1">Доходи!G32</f>
        <v>360356.0130055492</v>
      </c>
      <c r="L45" s="637">
        <f t="shared" si="0"/>
        <v>258153.55037318659</v>
      </c>
      <c r="M45" s="384">
        <v>846000</v>
      </c>
      <c r="N45" s="384">
        <v>846000</v>
      </c>
      <c r="O45" s="384">
        <v>211500</v>
      </c>
      <c r="P45" s="384">
        <v>211500</v>
      </c>
      <c r="Q45" s="384">
        <v>211500</v>
      </c>
      <c r="R45" s="384">
        <v>211500</v>
      </c>
      <c r="T45" s="384">
        <f t="shared" si="1"/>
        <v>205024.53164317436</v>
      </c>
    </row>
    <row r="46" spans="2:22" s="3" customFormat="1" ht="21.75" customHeight="1">
      <c r="B46" s="419" t="s">
        <v>1618</v>
      </c>
      <c r="C46" s="424">
        <v>1032</v>
      </c>
      <c r="D46" s="421"/>
      <c r="E46" s="422">
        <v>12000</v>
      </c>
      <c r="F46" s="422">
        <f t="shared" si="2"/>
        <v>12000</v>
      </c>
      <c r="G46" s="423">
        <f t="shared" si="3"/>
        <v>12000</v>
      </c>
      <c r="H46" s="423">
        <f ca="1">Доходи!D34</f>
        <v>3000</v>
      </c>
      <c r="I46" s="423">
        <f ca="1">Доходи!E34</f>
        <v>3000</v>
      </c>
      <c r="J46" s="423">
        <f ca="1">Доходи!F34</f>
        <v>3000</v>
      </c>
      <c r="K46" s="423">
        <f ca="1">Доходи!G34</f>
        <v>3000</v>
      </c>
      <c r="L46" s="637">
        <f t="shared" si="0"/>
        <v>0</v>
      </c>
      <c r="M46" s="384">
        <v>12000</v>
      </c>
      <c r="N46" s="384">
        <v>12000</v>
      </c>
      <c r="O46" s="384">
        <v>3000</v>
      </c>
      <c r="P46" s="384">
        <v>3000</v>
      </c>
      <c r="Q46" s="384">
        <v>3000</v>
      </c>
      <c r="R46" s="384">
        <v>3000</v>
      </c>
      <c r="T46" s="384">
        <f t="shared" si="1"/>
        <v>0</v>
      </c>
    </row>
    <row r="47" spans="2:22" s="392" customFormat="1" ht="21.75" customHeight="1">
      <c r="B47" s="425" t="s">
        <v>1280</v>
      </c>
      <c r="C47" s="426">
        <v>1033</v>
      </c>
      <c r="D47" s="427"/>
      <c r="E47" s="428">
        <v>0</v>
      </c>
      <c r="F47" s="428">
        <f t="shared" si="2"/>
        <v>0</v>
      </c>
      <c r="G47" s="428">
        <f t="shared" si="3"/>
        <v>0</v>
      </c>
      <c r="H47" s="428">
        <f ca="1">Доходи!D36</f>
        <v>0</v>
      </c>
      <c r="I47" s="428">
        <f ca="1">Доходи!E36</f>
        <v>0</v>
      </c>
      <c r="J47" s="428">
        <f ca="1">Доходи!F36</f>
        <v>0</v>
      </c>
      <c r="K47" s="428">
        <f ca="1">Доходи!G36</f>
        <v>0</v>
      </c>
      <c r="L47" s="637">
        <f t="shared" si="0"/>
        <v>0</v>
      </c>
      <c r="M47" s="632">
        <v>0</v>
      </c>
      <c r="N47" s="632">
        <v>0</v>
      </c>
      <c r="O47" s="632">
        <v>0</v>
      </c>
      <c r="P47" s="632">
        <v>0</v>
      </c>
      <c r="Q47" s="632">
        <v>0</v>
      </c>
      <c r="R47" s="632">
        <v>0</v>
      </c>
      <c r="T47" s="384">
        <f t="shared" si="1"/>
        <v>0</v>
      </c>
      <c r="V47" s="3"/>
    </row>
    <row r="48" spans="2:22" s="392" customFormat="1" ht="21.75" customHeight="1">
      <c r="B48" s="429" t="s">
        <v>1617</v>
      </c>
      <c r="C48" s="430">
        <v>1040</v>
      </c>
      <c r="D48" s="431">
        <f>D50+D49</f>
        <v>0</v>
      </c>
      <c r="E48" s="432">
        <v>1200</v>
      </c>
      <c r="F48" s="432">
        <f t="shared" si="2"/>
        <v>1200</v>
      </c>
      <c r="G48" s="432">
        <f t="shared" si="3"/>
        <v>1200</v>
      </c>
      <c r="H48" s="432">
        <f ca="1">H50+H49</f>
        <v>300</v>
      </c>
      <c r="I48" s="432">
        <f ca="1">I50+I49</f>
        <v>300</v>
      </c>
      <c r="J48" s="432">
        <f ca="1">J50+J49</f>
        <v>300</v>
      </c>
      <c r="K48" s="432">
        <f ca="1">K50+K49</f>
        <v>300</v>
      </c>
      <c r="L48" s="637">
        <f t="shared" si="0"/>
        <v>0</v>
      </c>
      <c r="M48" s="632">
        <v>1200</v>
      </c>
      <c r="N48" s="632">
        <v>1200</v>
      </c>
      <c r="O48" s="632">
        <v>300</v>
      </c>
      <c r="P48" s="632">
        <v>300</v>
      </c>
      <c r="Q48" s="632">
        <v>300</v>
      </c>
      <c r="R48" s="632">
        <v>300</v>
      </c>
      <c r="T48" s="384">
        <f t="shared" si="1"/>
        <v>0</v>
      </c>
      <c r="V48" s="3"/>
    </row>
    <row r="49" spans="2:22" s="392" customFormat="1" ht="21.75" customHeight="1">
      <c r="B49" s="425" t="s">
        <v>1619</v>
      </c>
      <c r="C49" s="426">
        <v>1041</v>
      </c>
      <c r="D49" s="427"/>
      <c r="E49" s="428">
        <v>1200</v>
      </c>
      <c r="F49" s="428">
        <f t="shared" si="2"/>
        <v>1200</v>
      </c>
      <c r="G49" s="428">
        <f t="shared" si="3"/>
        <v>1200</v>
      </c>
      <c r="H49" s="428">
        <f ca="1">Доходи!D33</f>
        <v>300</v>
      </c>
      <c r="I49" s="428">
        <f ca="1">Доходи!E33</f>
        <v>300</v>
      </c>
      <c r="J49" s="428">
        <f ca="1">Доходи!F33</f>
        <v>300</v>
      </c>
      <c r="K49" s="428">
        <f ca="1">Доходи!G33</f>
        <v>300</v>
      </c>
      <c r="L49" s="637">
        <f t="shared" si="0"/>
        <v>0</v>
      </c>
      <c r="M49" s="632">
        <v>1200</v>
      </c>
      <c r="N49" s="632">
        <v>1200</v>
      </c>
      <c r="O49" s="632">
        <v>300</v>
      </c>
      <c r="P49" s="632">
        <v>300</v>
      </c>
      <c r="Q49" s="632">
        <v>300</v>
      </c>
      <c r="R49" s="632">
        <v>300</v>
      </c>
      <c r="T49" s="384">
        <f t="shared" si="1"/>
        <v>0</v>
      </c>
      <c r="V49" s="3"/>
    </row>
    <row r="50" spans="2:22" s="392" customFormat="1" ht="21.75" customHeight="1">
      <c r="B50" s="425" t="s">
        <v>1281</v>
      </c>
      <c r="C50" s="426">
        <v>1042</v>
      </c>
      <c r="D50" s="427"/>
      <c r="E50" s="428">
        <v>0</v>
      </c>
      <c r="F50" s="428">
        <f t="shared" si="2"/>
        <v>0</v>
      </c>
      <c r="G50" s="428">
        <f t="shared" si="3"/>
        <v>0</v>
      </c>
      <c r="H50" s="428">
        <f ca="1">Доходи!D37</f>
        <v>0</v>
      </c>
      <c r="I50" s="428">
        <f ca="1">Доходи!E37</f>
        <v>0</v>
      </c>
      <c r="J50" s="428">
        <f ca="1">Доходи!F37</f>
        <v>0</v>
      </c>
      <c r="K50" s="428">
        <f ca="1">Доходи!G37</f>
        <v>0</v>
      </c>
      <c r="L50" s="637">
        <f t="shared" si="0"/>
        <v>0</v>
      </c>
      <c r="M50" s="632">
        <v>0</v>
      </c>
      <c r="N50" s="632">
        <v>0</v>
      </c>
      <c r="O50" s="632">
        <v>0</v>
      </c>
      <c r="P50" s="632">
        <v>0</v>
      </c>
      <c r="Q50" s="632">
        <v>0</v>
      </c>
      <c r="R50" s="632">
        <v>0</v>
      </c>
      <c r="T50" s="384">
        <f t="shared" si="1"/>
        <v>0</v>
      </c>
      <c r="V50" s="3"/>
    </row>
    <row r="51" spans="2:22" ht="21.75" customHeight="1">
      <c r="B51" s="952" t="s">
        <v>1537</v>
      </c>
      <c r="C51" s="952"/>
      <c r="D51" s="952"/>
      <c r="E51" s="952"/>
      <c r="F51" s="952"/>
      <c r="G51" s="952"/>
      <c r="H51" s="952"/>
      <c r="I51" s="952"/>
      <c r="J51" s="952"/>
      <c r="K51" s="952"/>
      <c r="L51" s="637">
        <f t="shared" si="0"/>
        <v>0</v>
      </c>
      <c r="M51" s="393"/>
      <c r="N51" s="393"/>
      <c r="O51" s="393"/>
      <c r="P51" s="393"/>
      <c r="Q51" s="393"/>
      <c r="R51" s="393"/>
      <c r="T51" s="384">
        <f t="shared" si="1"/>
        <v>0</v>
      </c>
      <c r="V51" s="3"/>
    </row>
    <row r="52" spans="2:22" s="3" customFormat="1" ht="21.75" customHeight="1">
      <c r="B52" s="699" t="s">
        <v>1538</v>
      </c>
      <c r="C52" s="700">
        <v>1050</v>
      </c>
      <c r="D52" s="416"/>
      <c r="E52" s="416">
        <v>24206047</v>
      </c>
      <c r="F52" s="416">
        <f t="shared" si="2"/>
        <v>24206047</v>
      </c>
      <c r="G52" s="417">
        <f ca="1">ФОП!S30-ФОП!S7-ФОП!S12</f>
        <v>26763474.113750003</v>
      </c>
      <c r="H52" s="417">
        <f ca="1">ФОП!O40</f>
        <v>7463929.2037499994</v>
      </c>
      <c r="I52" s="417">
        <f ca="1">ФОП!P40</f>
        <v>6705370.0599999996</v>
      </c>
      <c r="J52" s="417">
        <f ca="1">ФОП!Q40</f>
        <v>5721632.79</v>
      </c>
      <c r="K52" s="417">
        <f ca="1">ФОП!R40</f>
        <v>6872542.0599999996</v>
      </c>
      <c r="L52" s="637">
        <f t="shared" si="0"/>
        <v>-6948893.0787784532</v>
      </c>
      <c r="M52" s="384">
        <v>33712367.192528456</v>
      </c>
      <c r="N52" s="384">
        <v>33712367.192528456</v>
      </c>
      <c r="O52" s="384">
        <v>8534063.5302729104</v>
      </c>
      <c r="P52" s="384">
        <v>8339347.4087636806</v>
      </c>
      <c r="Q52" s="384">
        <v>8312693.2685622517</v>
      </c>
      <c r="R52" s="384">
        <v>8526262.9849296156</v>
      </c>
      <c r="T52" s="384">
        <f t="shared" si="1"/>
        <v>-1070134.326522911</v>
      </c>
    </row>
    <row r="53" spans="2:22" s="3" customFormat="1" ht="21.75" customHeight="1">
      <c r="B53" s="699" t="s">
        <v>1539</v>
      </c>
      <c r="C53" s="700">
        <v>1060</v>
      </c>
      <c r="D53" s="416"/>
      <c r="E53" s="416">
        <v>5204300</v>
      </c>
      <c r="F53" s="416">
        <f t="shared" si="2"/>
        <v>5204300</v>
      </c>
      <c r="G53" s="417">
        <f ca="1">H53+I53+J53+K53</f>
        <v>5887964.3050250001</v>
      </c>
      <c r="H53" s="417">
        <f ca="1">ФОП!O31-H56</f>
        <v>1642064.4248250001</v>
      </c>
      <c r="I53" s="417">
        <f ca="1">ФОП!P31-I56</f>
        <v>1475181.4132000001</v>
      </c>
      <c r="J53" s="417">
        <f ca="1">ФОП!Q31-J56</f>
        <v>1258759.2138000003</v>
      </c>
      <c r="K53" s="417">
        <f ca="1">ФОП!R31-K56</f>
        <v>1511959.2532000002</v>
      </c>
      <c r="L53" s="637">
        <f t="shared" si="0"/>
        <v>-1360194.6413686182</v>
      </c>
      <c r="M53" s="384">
        <v>7248158.9463936184</v>
      </c>
      <c r="N53" s="384">
        <v>7248158.9463936184</v>
      </c>
      <c r="O53" s="384">
        <v>1834823.659008676</v>
      </c>
      <c r="P53" s="384">
        <v>1792959.6928841914</v>
      </c>
      <c r="Q53" s="384">
        <v>1787229.0527408845</v>
      </c>
      <c r="R53" s="384">
        <v>1833146.5417598672</v>
      </c>
      <c r="T53" s="384">
        <f t="shared" si="1"/>
        <v>-192759.23418367584</v>
      </c>
    </row>
    <row r="54" spans="2:22" s="3" customFormat="1" ht="21.75" customHeight="1">
      <c r="B54" s="433" t="s">
        <v>1423</v>
      </c>
      <c r="C54" s="700">
        <v>1070</v>
      </c>
      <c r="D54" s="951"/>
      <c r="E54" s="951"/>
      <c r="F54" s="951"/>
      <c r="G54" s="951"/>
      <c r="H54" s="951"/>
      <c r="I54" s="951"/>
      <c r="J54" s="951"/>
      <c r="K54" s="951"/>
      <c r="L54" s="637">
        <f t="shared" si="0"/>
        <v>0</v>
      </c>
      <c r="M54" s="384"/>
      <c r="N54" s="384"/>
      <c r="O54" s="384"/>
      <c r="P54" s="384"/>
      <c r="Q54" s="384"/>
      <c r="R54" s="384"/>
      <c r="T54" s="384">
        <f t="shared" si="1"/>
        <v>0</v>
      </c>
    </row>
    <row r="55" spans="2:22" s="3" customFormat="1" ht="21.75" customHeight="1">
      <c r="B55" s="434" t="s">
        <v>1435</v>
      </c>
      <c r="C55" s="700">
        <v>1071</v>
      </c>
      <c r="D55" s="416"/>
      <c r="E55" s="416">
        <v>2758905</v>
      </c>
      <c r="F55" s="416">
        <f t="shared" ref="F55:F61" si="4">E55</f>
        <v>2758905</v>
      </c>
      <c r="G55" s="417">
        <f ca="1">G135+G139</f>
        <v>3004019.2825999996</v>
      </c>
      <c r="H55" s="417">
        <f ca="1">H135+H139</f>
        <v>801845.49099999992</v>
      </c>
      <c r="I55" s="417">
        <f ca="1">I135+I139</f>
        <v>751004.82064999989</v>
      </c>
      <c r="J55" s="417">
        <f ca="1">J135+J139</f>
        <v>700164.1503000001</v>
      </c>
      <c r="K55" s="417">
        <f ca="1">K135+K139</f>
        <v>751004.82064999989</v>
      </c>
      <c r="L55" s="637">
        <f t="shared" si="0"/>
        <v>-417530.19169250038</v>
      </c>
      <c r="M55" s="384">
        <v>3421549.4742924999</v>
      </c>
      <c r="N55" s="384">
        <v>3421549.4742924999</v>
      </c>
      <c r="O55" s="384">
        <v>855387.36857312499</v>
      </c>
      <c r="P55" s="384">
        <v>855387.36857312499</v>
      </c>
      <c r="Q55" s="384">
        <v>855387.36857312499</v>
      </c>
      <c r="R55" s="384">
        <v>855387.36857312499</v>
      </c>
      <c r="T55" s="384">
        <f t="shared" si="1"/>
        <v>-53541.877573125064</v>
      </c>
    </row>
    <row r="56" spans="2:22" s="3" customFormat="1" ht="21.75" customHeight="1">
      <c r="B56" s="434" t="s">
        <v>1436</v>
      </c>
      <c r="C56" s="700">
        <v>1072</v>
      </c>
      <c r="D56" s="416"/>
      <c r="E56" s="416">
        <v>593165</v>
      </c>
      <c r="F56" s="416">
        <f t="shared" si="4"/>
        <v>593165</v>
      </c>
      <c r="G56" s="417">
        <f ca="1">ФОП!S37</f>
        <v>660884.24217199988</v>
      </c>
      <c r="H56" s="417">
        <f ca="1">ФОП!O37</f>
        <v>176406.00801999998</v>
      </c>
      <c r="I56" s="417">
        <f ca="1">ФОП!P37</f>
        <v>165221.06054299997</v>
      </c>
      <c r="J56" s="417">
        <f ca="1">ФОП!Q37</f>
        <v>154036.11306599999</v>
      </c>
      <c r="K56" s="417">
        <f ca="1">ФОП!R37</f>
        <v>165221.06054299997</v>
      </c>
      <c r="L56" s="637">
        <f t="shared" si="0"/>
        <v>-74748.89480088756</v>
      </c>
      <c r="M56" s="384">
        <v>735633.13697288744</v>
      </c>
      <c r="N56" s="384">
        <v>735633.13697288744</v>
      </c>
      <c r="O56" s="384">
        <v>183908.28424322186</v>
      </c>
      <c r="P56" s="384">
        <v>183908.28424322186</v>
      </c>
      <c r="Q56" s="384">
        <v>183908.28424322186</v>
      </c>
      <c r="R56" s="384">
        <v>183908.28424322186</v>
      </c>
      <c r="T56" s="384">
        <f t="shared" si="1"/>
        <v>-7502.2762232218811</v>
      </c>
    </row>
    <row r="57" spans="2:22" s="383" customFormat="1" ht="21.75" customHeight="1">
      <c r="B57" s="425" t="s">
        <v>1682</v>
      </c>
      <c r="C57" s="426">
        <v>1073</v>
      </c>
      <c r="D57" s="428"/>
      <c r="E57" s="428">
        <v>60000</v>
      </c>
      <c r="F57" s="428">
        <f t="shared" si="4"/>
        <v>60000</v>
      </c>
      <c r="G57" s="428">
        <f>H57+I57+J57+K57</f>
        <v>60000</v>
      </c>
      <c r="H57" s="428">
        <f ca="1">Видатки!C17</f>
        <v>15000</v>
      </c>
      <c r="I57" s="428">
        <f ca="1">Видатки!D17</f>
        <v>15000</v>
      </c>
      <c r="J57" s="428">
        <f ca="1">Видатки!E17</f>
        <v>15000</v>
      </c>
      <c r="K57" s="428">
        <f ca="1">Видатки!F17</f>
        <v>15000</v>
      </c>
      <c r="L57" s="637">
        <f t="shared" si="0"/>
        <v>0</v>
      </c>
      <c r="M57" s="633">
        <v>60000</v>
      </c>
      <c r="N57" s="633">
        <v>60000</v>
      </c>
      <c r="O57" s="633">
        <v>15000</v>
      </c>
      <c r="P57" s="633">
        <v>15000</v>
      </c>
      <c r="Q57" s="633">
        <v>15000</v>
      </c>
      <c r="R57" s="633">
        <v>15000</v>
      </c>
      <c r="T57" s="384">
        <f t="shared" si="1"/>
        <v>0</v>
      </c>
      <c r="V57" s="3"/>
    </row>
    <row r="58" spans="2:22" s="392" customFormat="1" ht="21.75" customHeight="1">
      <c r="B58" s="429" t="s">
        <v>1540</v>
      </c>
      <c r="C58" s="430">
        <v>1080</v>
      </c>
      <c r="D58" s="432"/>
      <c r="E58" s="432">
        <v>3860064</v>
      </c>
      <c r="F58" s="432">
        <f t="shared" si="4"/>
        <v>3860064</v>
      </c>
      <c r="G58" s="432">
        <f t="shared" ref="G58:G69" si="5">H58+I58+J58+K58</f>
        <v>3761063.7199999993</v>
      </c>
      <c r="H58" s="432">
        <f ca="1">'2220'!J501/4</f>
        <v>940265.92999999982</v>
      </c>
      <c r="I58" s="432">
        <f t="shared" ref="I58:K59" si="6">H58</f>
        <v>940265.92999999982</v>
      </c>
      <c r="J58" s="432">
        <f t="shared" si="6"/>
        <v>940265.92999999982</v>
      </c>
      <c r="K58" s="432">
        <f t="shared" si="6"/>
        <v>940265.92999999982</v>
      </c>
      <c r="L58" s="637">
        <f t="shared" si="0"/>
        <v>-1100941.6223000004</v>
      </c>
      <c r="M58" s="632">
        <v>4862005.3422999997</v>
      </c>
      <c r="N58" s="632">
        <v>4862005.3422999997</v>
      </c>
      <c r="O58" s="632">
        <v>1215501.3355749999</v>
      </c>
      <c r="P58" s="632">
        <v>1215501.3355749999</v>
      </c>
      <c r="Q58" s="632">
        <v>1215501.3355749999</v>
      </c>
      <c r="R58" s="632">
        <v>1215501.3355749999</v>
      </c>
      <c r="T58" s="384">
        <f t="shared" si="1"/>
        <v>-275235.4055750001</v>
      </c>
      <c r="V58" s="3"/>
    </row>
    <row r="59" spans="2:22" s="392" customFormat="1" ht="21.75" customHeight="1">
      <c r="B59" s="429" t="s">
        <v>1541</v>
      </c>
      <c r="C59" s="430">
        <v>1090</v>
      </c>
      <c r="D59" s="432"/>
      <c r="E59" s="432">
        <v>712500</v>
      </c>
      <c r="F59" s="432">
        <f t="shared" si="4"/>
        <v>712500</v>
      </c>
      <c r="G59" s="432">
        <f>H59+I59+J59+K59</f>
        <v>734296</v>
      </c>
      <c r="H59" s="432">
        <f ca="1">'2230'!G3+'2230'!G4+'2230'!G5</f>
        <v>183574</v>
      </c>
      <c r="I59" s="432">
        <f t="shared" si="6"/>
        <v>183574</v>
      </c>
      <c r="J59" s="432">
        <f t="shared" si="6"/>
        <v>183574</v>
      </c>
      <c r="K59" s="432">
        <f t="shared" si="6"/>
        <v>183574</v>
      </c>
      <c r="L59" s="637">
        <f t="shared" si="0"/>
        <v>-260030</v>
      </c>
      <c r="M59" s="632">
        <v>994326</v>
      </c>
      <c r="N59" s="632">
        <v>994326</v>
      </c>
      <c r="O59" s="632">
        <v>248581.5</v>
      </c>
      <c r="P59" s="632">
        <v>248581.5</v>
      </c>
      <c r="Q59" s="632">
        <v>248581.5</v>
      </c>
      <c r="R59" s="632">
        <v>248581.5</v>
      </c>
      <c r="T59" s="384">
        <f t="shared" si="1"/>
        <v>-65007.5</v>
      </c>
      <c r="V59" s="3"/>
    </row>
    <row r="60" spans="2:22" s="392" customFormat="1" ht="21.75" customHeight="1">
      <c r="B60" s="429" t="s">
        <v>1542</v>
      </c>
      <c r="C60" s="430">
        <v>1100</v>
      </c>
      <c r="D60" s="432"/>
      <c r="E60" s="432">
        <v>2131582</v>
      </c>
      <c r="F60" s="432">
        <f t="shared" si="4"/>
        <v>2131582</v>
      </c>
      <c r="G60" s="432">
        <f>H60+I60+J60+K60</f>
        <v>748883.89999999991</v>
      </c>
      <c r="H60" s="432">
        <f ca="1">Видатки!C9</f>
        <v>115917.20999999999</v>
      </c>
      <c r="I60" s="432">
        <f ca="1">Видатки!D9</f>
        <v>217358.81000000003</v>
      </c>
      <c r="J60" s="432">
        <f ca="1">Видатки!E9</f>
        <v>210833.44</v>
      </c>
      <c r="K60" s="432">
        <f ca="1">Видатки!F9</f>
        <v>204774.44</v>
      </c>
      <c r="L60" s="637">
        <f t="shared" si="0"/>
        <v>-317609.76</v>
      </c>
      <c r="M60" s="632">
        <v>1066493.6599999999</v>
      </c>
      <c r="N60" s="632">
        <v>1066493.6599999999</v>
      </c>
      <c r="O60" s="632">
        <v>274425.25</v>
      </c>
      <c r="P60" s="632">
        <v>288668.92000000004</v>
      </c>
      <c r="Q60" s="632">
        <v>300319.71999999997</v>
      </c>
      <c r="R60" s="632">
        <v>203079.77</v>
      </c>
      <c r="T60" s="384">
        <f t="shared" si="1"/>
        <v>-158508.04</v>
      </c>
      <c r="V60" s="3"/>
    </row>
    <row r="61" spans="2:22" s="392" customFormat="1" ht="21.75" customHeight="1">
      <c r="B61" s="429" t="s">
        <v>1543</v>
      </c>
      <c r="C61" s="430">
        <v>1110</v>
      </c>
      <c r="D61" s="432"/>
      <c r="E61" s="432">
        <v>10000</v>
      </c>
      <c r="F61" s="432">
        <f t="shared" si="4"/>
        <v>10000</v>
      </c>
      <c r="G61" s="432">
        <f t="shared" si="5"/>
        <v>10000</v>
      </c>
      <c r="H61" s="432">
        <f ca="1">Видатки!C10</f>
        <v>5000</v>
      </c>
      <c r="I61" s="432">
        <f ca="1">Видатки!D10</f>
        <v>5000</v>
      </c>
      <c r="J61" s="432">
        <f ca="1">Видатки!E10</f>
        <v>0</v>
      </c>
      <c r="K61" s="432">
        <f ca="1">Видатки!F10</f>
        <v>0</v>
      </c>
      <c r="L61" s="637">
        <f t="shared" si="0"/>
        <v>0</v>
      </c>
      <c r="M61" s="632">
        <v>10000</v>
      </c>
      <c r="N61" s="632">
        <v>10000</v>
      </c>
      <c r="O61" s="632">
        <v>10000</v>
      </c>
      <c r="P61" s="632">
        <v>0</v>
      </c>
      <c r="Q61" s="632">
        <v>0</v>
      </c>
      <c r="R61" s="632">
        <v>0</v>
      </c>
      <c r="T61" s="384">
        <f t="shared" si="1"/>
        <v>-5000</v>
      </c>
      <c r="V61" s="3"/>
    </row>
    <row r="62" spans="2:22" s="392" customFormat="1" ht="21.75" customHeight="1">
      <c r="B62" s="429" t="s">
        <v>1602</v>
      </c>
      <c r="C62" s="430">
        <v>1120</v>
      </c>
      <c r="D62" s="432">
        <f>SUM(D63:D68)</f>
        <v>0</v>
      </c>
      <c r="E62" s="432">
        <v>5746842</v>
      </c>
      <c r="F62" s="432">
        <f>SUM(F63:F68)</f>
        <v>5746841</v>
      </c>
      <c r="G62" s="432">
        <f>H62+I62+J62+K62</f>
        <v>5933450</v>
      </c>
      <c r="H62" s="432">
        <f>SUM(H63:H68)</f>
        <v>2301720</v>
      </c>
      <c r="I62" s="432">
        <f>SUM(I63:I68)</f>
        <v>895080</v>
      </c>
      <c r="J62" s="432">
        <f>SUM(J63:J68)</f>
        <v>616045</v>
      </c>
      <c r="K62" s="432">
        <f>SUM(K63:K68)</f>
        <v>2120605</v>
      </c>
      <c r="L62" s="637">
        <f t="shared" si="0"/>
        <v>-358871.40000000037</v>
      </c>
      <c r="M62" s="632">
        <v>6292321.4000000004</v>
      </c>
      <c r="N62" s="632">
        <v>6292321.4000000004</v>
      </c>
      <c r="O62" s="632">
        <v>2553795.0802197801</v>
      </c>
      <c r="P62" s="632">
        <v>876362.39670329669</v>
      </c>
      <c r="Q62" s="632">
        <v>542690.6</v>
      </c>
      <c r="R62" s="632">
        <v>2319473.3230769234</v>
      </c>
      <c r="T62" s="384">
        <f t="shared" si="1"/>
        <v>-252075.08021978009</v>
      </c>
      <c r="V62" s="3"/>
    </row>
    <row r="63" spans="2:22" s="383" customFormat="1" ht="21.75" customHeight="1">
      <c r="B63" s="425" t="s">
        <v>1429</v>
      </c>
      <c r="C63" s="426">
        <v>1121</v>
      </c>
      <c r="D63" s="428"/>
      <c r="E63" s="428">
        <v>0</v>
      </c>
      <c r="F63" s="428">
        <f t="shared" ref="F63:F73" si="7">E63</f>
        <v>0</v>
      </c>
      <c r="G63" s="428">
        <f t="shared" si="5"/>
        <v>0</v>
      </c>
      <c r="H63" s="428">
        <v>0</v>
      </c>
      <c r="I63" s="428">
        <v>0</v>
      </c>
      <c r="J63" s="428">
        <v>0</v>
      </c>
      <c r="K63" s="428">
        <v>0</v>
      </c>
      <c r="L63" s="637">
        <f t="shared" si="0"/>
        <v>0</v>
      </c>
      <c r="M63" s="633">
        <v>0</v>
      </c>
      <c r="N63" s="633">
        <v>0</v>
      </c>
      <c r="O63" s="633">
        <v>0</v>
      </c>
      <c r="P63" s="633">
        <v>0</v>
      </c>
      <c r="Q63" s="633">
        <v>0</v>
      </c>
      <c r="R63" s="633">
        <v>0</v>
      </c>
      <c r="T63" s="384">
        <f t="shared" si="1"/>
        <v>0</v>
      </c>
      <c r="V63" s="3"/>
    </row>
    <row r="64" spans="2:22" s="383" customFormat="1" ht="21.75" customHeight="1">
      <c r="B64" s="425" t="s">
        <v>1430</v>
      </c>
      <c r="C64" s="426">
        <v>1122</v>
      </c>
      <c r="D64" s="428"/>
      <c r="E64" s="428">
        <v>0</v>
      </c>
      <c r="F64" s="428">
        <f t="shared" si="7"/>
        <v>0</v>
      </c>
      <c r="G64" s="428">
        <f t="shared" si="5"/>
        <v>0</v>
      </c>
      <c r="H64" s="428">
        <v>0</v>
      </c>
      <c r="I64" s="428">
        <v>0</v>
      </c>
      <c r="J64" s="428">
        <v>0</v>
      </c>
      <c r="K64" s="428">
        <v>0</v>
      </c>
      <c r="L64" s="637">
        <f t="shared" si="0"/>
        <v>0</v>
      </c>
      <c r="M64" s="633">
        <v>0</v>
      </c>
      <c r="N64" s="633">
        <v>0</v>
      </c>
      <c r="O64" s="633">
        <v>0</v>
      </c>
      <c r="P64" s="633">
        <v>0</v>
      </c>
      <c r="Q64" s="633">
        <v>0</v>
      </c>
      <c r="R64" s="633">
        <v>0</v>
      </c>
      <c r="T64" s="384">
        <f t="shared" si="1"/>
        <v>0</v>
      </c>
      <c r="V64" s="3"/>
    </row>
    <row r="65" spans="2:22" s="383" customFormat="1" ht="21.75" customHeight="1">
      <c r="B65" s="425" t="s">
        <v>1431</v>
      </c>
      <c r="C65" s="426">
        <v>1123</v>
      </c>
      <c r="D65" s="428"/>
      <c r="E65" s="428">
        <v>2453115</v>
      </c>
      <c r="F65" s="428">
        <f t="shared" si="7"/>
        <v>2453115</v>
      </c>
      <c r="G65" s="714">
        <f>H65+I65+J65+K65</f>
        <v>2954000</v>
      </c>
      <c r="H65" s="428">
        <f ca="1">Енергоносії...!D18</f>
        <v>852440</v>
      </c>
      <c r="I65" s="428">
        <f ca="1">Енергоносії...!D19</f>
        <v>633000</v>
      </c>
      <c r="J65" s="428">
        <f ca="1">Енергоносії...!D20</f>
        <v>590800</v>
      </c>
      <c r="K65" s="428">
        <f ca="1">Енергоносії...!D21</f>
        <v>877760</v>
      </c>
      <c r="L65" s="637">
        <f t="shared" si="0"/>
        <v>362205</v>
      </c>
      <c r="M65" s="633">
        <v>2591795</v>
      </c>
      <c r="N65" s="633">
        <v>2591795</v>
      </c>
      <c r="O65" s="633">
        <v>748443.7</v>
      </c>
      <c r="P65" s="633">
        <v>554527.5</v>
      </c>
      <c r="Q65" s="633">
        <v>517559</v>
      </c>
      <c r="R65" s="633">
        <v>771264.8</v>
      </c>
      <c r="T65" s="631">
        <f t="shared" si="1"/>
        <v>103996.30000000005</v>
      </c>
      <c r="V65" s="3"/>
    </row>
    <row r="66" spans="2:22" s="383" customFormat="1" ht="21.75" customHeight="1">
      <c r="B66" s="425" t="s">
        <v>1432</v>
      </c>
      <c r="C66" s="426">
        <v>1124</v>
      </c>
      <c r="D66" s="428"/>
      <c r="E66" s="428">
        <v>0</v>
      </c>
      <c r="F66" s="428">
        <f t="shared" si="7"/>
        <v>0</v>
      </c>
      <c r="G66" s="428">
        <f t="shared" si="5"/>
        <v>0</v>
      </c>
      <c r="H66" s="428">
        <v>0</v>
      </c>
      <c r="I66" s="428">
        <v>0</v>
      </c>
      <c r="J66" s="428">
        <v>0</v>
      </c>
      <c r="K66" s="428">
        <v>0</v>
      </c>
      <c r="L66" s="637">
        <f t="shared" si="0"/>
        <v>0</v>
      </c>
      <c r="M66" s="633">
        <v>0</v>
      </c>
      <c r="N66" s="633">
        <v>0</v>
      </c>
      <c r="O66" s="633">
        <v>0</v>
      </c>
      <c r="P66" s="633">
        <v>0</v>
      </c>
      <c r="Q66" s="633">
        <v>0</v>
      </c>
      <c r="R66" s="633">
        <v>0</v>
      </c>
      <c r="T66" s="384">
        <f t="shared" si="1"/>
        <v>0</v>
      </c>
      <c r="V66" s="3"/>
    </row>
    <row r="67" spans="2:22" s="383" customFormat="1" ht="21.75" customHeight="1">
      <c r="B67" s="425" t="s">
        <v>1433</v>
      </c>
      <c r="C67" s="426">
        <v>1125</v>
      </c>
      <c r="D67" s="428"/>
      <c r="E67" s="428">
        <v>3293726</v>
      </c>
      <c r="F67" s="428">
        <f t="shared" si="7"/>
        <v>3293726</v>
      </c>
      <c r="G67" s="428">
        <f t="shared" si="5"/>
        <v>2979450</v>
      </c>
      <c r="H67" s="428">
        <f ca="1">Енергоносії...!I34</f>
        <v>1449280</v>
      </c>
      <c r="I67" s="428">
        <f ca="1">Енергоносії...!I35</f>
        <v>262080</v>
      </c>
      <c r="J67" s="428">
        <f ca="1">Енергоносії...!I36</f>
        <v>25245</v>
      </c>
      <c r="K67" s="428">
        <f ca="1">Енергоносії...!I37</f>
        <v>1242845</v>
      </c>
      <c r="L67" s="637">
        <f t="shared" si="0"/>
        <v>-721076.39999999991</v>
      </c>
      <c r="M67" s="633">
        <v>3700526.4</v>
      </c>
      <c r="N67" s="633">
        <v>3700526.4</v>
      </c>
      <c r="O67" s="633">
        <v>1805351.3802197801</v>
      </c>
      <c r="P67" s="633">
        <v>321834.89670329669</v>
      </c>
      <c r="Q67" s="633">
        <v>25131.599999999999</v>
      </c>
      <c r="R67" s="633">
        <v>1548208.5230769231</v>
      </c>
      <c r="T67" s="630">
        <f t="shared" si="1"/>
        <v>-356071.38021978014</v>
      </c>
      <c r="V67" s="3"/>
    </row>
    <row r="68" spans="2:22" s="383" customFormat="1" ht="21.75" customHeight="1">
      <c r="B68" s="425" t="s">
        <v>1434</v>
      </c>
      <c r="C68" s="426">
        <v>1126</v>
      </c>
      <c r="D68" s="428">
        <v>0</v>
      </c>
      <c r="E68" s="428">
        <v>0</v>
      </c>
      <c r="F68" s="428">
        <f t="shared" si="7"/>
        <v>0</v>
      </c>
      <c r="G68" s="428">
        <f t="shared" si="5"/>
        <v>0</v>
      </c>
      <c r="H68" s="428">
        <v>0</v>
      </c>
      <c r="I68" s="428">
        <v>0</v>
      </c>
      <c r="J68" s="428">
        <v>0</v>
      </c>
      <c r="K68" s="428">
        <v>0</v>
      </c>
      <c r="L68" s="637">
        <f t="shared" si="0"/>
        <v>0</v>
      </c>
      <c r="M68" s="633">
        <v>0</v>
      </c>
      <c r="N68" s="633">
        <v>0</v>
      </c>
      <c r="O68" s="633">
        <v>0</v>
      </c>
      <c r="P68" s="633">
        <v>0</v>
      </c>
      <c r="Q68" s="633">
        <v>0</v>
      </c>
      <c r="R68" s="633">
        <v>0</v>
      </c>
      <c r="T68" s="384">
        <f t="shared" si="1"/>
        <v>0</v>
      </c>
      <c r="V68" s="3"/>
    </row>
    <row r="69" spans="2:22" s="383" customFormat="1" ht="42.75" customHeight="1">
      <c r="B69" s="614" t="s">
        <v>1544</v>
      </c>
      <c r="C69" s="426">
        <v>1130</v>
      </c>
      <c r="D69" s="428">
        <v>0</v>
      </c>
      <c r="E69" s="428">
        <v>0</v>
      </c>
      <c r="F69" s="428">
        <f t="shared" si="7"/>
        <v>0</v>
      </c>
      <c r="G69" s="428">
        <f t="shared" si="5"/>
        <v>0</v>
      </c>
      <c r="H69" s="428">
        <v>0</v>
      </c>
      <c r="I69" s="428">
        <v>0</v>
      </c>
      <c r="J69" s="428">
        <v>0</v>
      </c>
      <c r="K69" s="428">
        <v>0</v>
      </c>
      <c r="L69" s="637">
        <f t="shared" si="0"/>
        <v>0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T69" s="384">
        <f t="shared" si="1"/>
        <v>0</v>
      </c>
      <c r="V69" s="3"/>
    </row>
    <row r="70" spans="2:22" s="392" customFormat="1" ht="21.75" customHeight="1">
      <c r="B70" s="429" t="s">
        <v>1545</v>
      </c>
      <c r="C70" s="430">
        <v>1140</v>
      </c>
      <c r="D70" s="432"/>
      <c r="E70" s="432">
        <v>72000</v>
      </c>
      <c r="F70" s="432">
        <f t="shared" si="7"/>
        <v>72000</v>
      </c>
      <c r="G70" s="432">
        <f>H70+I70+J70+K70</f>
        <v>72000</v>
      </c>
      <c r="H70" s="432">
        <f ca="1">Видатки!C15</f>
        <v>18000</v>
      </c>
      <c r="I70" s="432">
        <f ca="1">Видатки!D15</f>
        <v>18000</v>
      </c>
      <c r="J70" s="432">
        <f ca="1">Видатки!E15</f>
        <v>18000</v>
      </c>
      <c r="K70" s="432">
        <f ca="1">Видатки!F15</f>
        <v>18000</v>
      </c>
      <c r="L70" s="637">
        <f t="shared" si="0"/>
        <v>0</v>
      </c>
      <c r="M70" s="632">
        <v>72000</v>
      </c>
      <c r="N70" s="632">
        <v>72000</v>
      </c>
      <c r="O70" s="632">
        <v>18000</v>
      </c>
      <c r="P70" s="632">
        <v>18000</v>
      </c>
      <c r="Q70" s="632">
        <v>18000</v>
      </c>
      <c r="R70" s="632">
        <v>18000</v>
      </c>
      <c r="T70" s="384">
        <f t="shared" si="1"/>
        <v>0</v>
      </c>
      <c r="V70" s="3"/>
    </row>
    <row r="71" spans="2:22" s="392" customFormat="1" ht="21.75" customHeight="1">
      <c r="B71" s="429" t="s">
        <v>1546</v>
      </c>
      <c r="C71" s="430">
        <v>1150</v>
      </c>
      <c r="D71" s="432"/>
      <c r="E71" s="432">
        <v>599059</v>
      </c>
      <c r="F71" s="432">
        <f>E71</f>
        <v>599059</v>
      </c>
      <c r="G71" s="432">
        <f>H71+I71+J71+K71</f>
        <v>504725.2</v>
      </c>
      <c r="H71" s="432">
        <f ca="1">Видатки!C16</f>
        <v>274675</v>
      </c>
      <c r="I71" s="432">
        <f ca="1">Видатки!D16</f>
        <v>182952.2</v>
      </c>
      <c r="J71" s="432">
        <f ca="1">Видатки!E16</f>
        <v>29170</v>
      </c>
      <c r="K71" s="432">
        <f ca="1">Видатки!F16</f>
        <v>17928</v>
      </c>
      <c r="L71" s="637">
        <f t="shared" ref="L71:L102" si="8">G71-M71</f>
        <v>-696496.8</v>
      </c>
      <c r="M71" s="632">
        <v>1201222</v>
      </c>
      <c r="N71" s="632">
        <v>1201222</v>
      </c>
      <c r="O71" s="632">
        <v>304790</v>
      </c>
      <c r="P71" s="632">
        <v>280724</v>
      </c>
      <c r="Q71" s="632">
        <v>324293</v>
      </c>
      <c r="R71" s="632">
        <v>291415</v>
      </c>
      <c r="T71" s="384">
        <f t="shared" ref="T71:T102" si="9">H71-O71</f>
        <v>-30115</v>
      </c>
      <c r="V71" s="3"/>
    </row>
    <row r="72" spans="2:22" s="87" customFormat="1" ht="27.75" customHeight="1">
      <c r="B72" s="699" t="s">
        <v>1422</v>
      </c>
      <c r="C72" s="700">
        <v>1160</v>
      </c>
      <c r="D72" s="417">
        <f>D91</f>
        <v>0</v>
      </c>
      <c r="E72" s="417">
        <v>2396118</v>
      </c>
      <c r="F72" s="417">
        <f t="shared" si="7"/>
        <v>2396118</v>
      </c>
      <c r="G72" s="417">
        <f>H72+I72+J72+K72</f>
        <v>400200</v>
      </c>
      <c r="H72" s="417">
        <f>H91</f>
        <v>400200</v>
      </c>
      <c r="I72" s="417">
        <f>I91</f>
        <v>0</v>
      </c>
      <c r="J72" s="417">
        <f>J91</f>
        <v>0</v>
      </c>
      <c r="K72" s="417">
        <f>K91</f>
        <v>0</v>
      </c>
      <c r="L72" s="637">
        <f t="shared" si="8"/>
        <v>-2096800</v>
      </c>
      <c r="M72" s="638">
        <v>2497000</v>
      </c>
      <c r="N72" s="638">
        <v>2497000</v>
      </c>
      <c r="O72" s="638">
        <v>537000</v>
      </c>
      <c r="P72" s="638">
        <v>1080000</v>
      </c>
      <c r="Q72" s="638">
        <v>840000</v>
      </c>
      <c r="R72" s="638">
        <v>40000</v>
      </c>
      <c r="T72" s="384">
        <f t="shared" si="9"/>
        <v>-136800</v>
      </c>
      <c r="V72" s="3"/>
    </row>
    <row r="73" spans="2:22" s="383" customFormat="1" ht="21.75" customHeight="1">
      <c r="B73" s="425" t="s">
        <v>1385</v>
      </c>
      <c r="C73" s="426">
        <v>1161</v>
      </c>
      <c r="D73" s="428">
        <v>0</v>
      </c>
      <c r="E73" s="428">
        <v>0</v>
      </c>
      <c r="F73" s="428">
        <f t="shared" si="7"/>
        <v>0</v>
      </c>
      <c r="G73" s="428">
        <f>H73+I73+J73+K73</f>
        <v>0</v>
      </c>
      <c r="H73" s="428">
        <v>0</v>
      </c>
      <c r="I73" s="428">
        <v>0</v>
      </c>
      <c r="J73" s="428">
        <v>0</v>
      </c>
      <c r="K73" s="428">
        <v>0</v>
      </c>
      <c r="L73" s="637">
        <f t="shared" si="8"/>
        <v>0</v>
      </c>
      <c r="M73" s="633">
        <v>0</v>
      </c>
      <c r="N73" s="633">
        <v>0</v>
      </c>
      <c r="O73" s="633">
        <v>0</v>
      </c>
      <c r="P73" s="633">
        <v>0</v>
      </c>
      <c r="Q73" s="633">
        <v>0</v>
      </c>
      <c r="R73" s="633">
        <v>0</v>
      </c>
      <c r="T73" s="384">
        <f t="shared" si="9"/>
        <v>0</v>
      </c>
      <c r="V73" s="3"/>
    </row>
    <row r="74" spans="2:22" s="383" customFormat="1" ht="21.75" customHeight="1">
      <c r="B74" s="425" t="s">
        <v>1386</v>
      </c>
      <c r="C74" s="426">
        <v>1162</v>
      </c>
      <c r="D74" s="428">
        <v>0</v>
      </c>
      <c r="E74" s="428">
        <v>0</v>
      </c>
      <c r="F74" s="428">
        <f t="shared" ref="F74:K74" si="10">F93</f>
        <v>400200</v>
      </c>
      <c r="G74" s="428">
        <f t="shared" si="10"/>
        <v>400200</v>
      </c>
      <c r="H74" s="428">
        <f>H93</f>
        <v>400200</v>
      </c>
      <c r="I74" s="428">
        <f t="shared" si="10"/>
        <v>0</v>
      </c>
      <c r="J74" s="428">
        <f t="shared" si="10"/>
        <v>0</v>
      </c>
      <c r="K74" s="428">
        <f t="shared" si="10"/>
        <v>0</v>
      </c>
      <c r="L74" s="637">
        <f t="shared" si="8"/>
        <v>-1896800</v>
      </c>
      <c r="M74" s="633">
        <v>2297000</v>
      </c>
      <c r="N74" s="633">
        <v>2297000</v>
      </c>
      <c r="O74" s="633">
        <v>497000</v>
      </c>
      <c r="P74" s="633">
        <v>1000000</v>
      </c>
      <c r="Q74" s="633">
        <v>800000</v>
      </c>
      <c r="R74" s="633">
        <v>0</v>
      </c>
      <c r="T74" s="384">
        <f t="shared" si="9"/>
        <v>-96800</v>
      </c>
      <c r="V74" s="3"/>
    </row>
    <row r="75" spans="2:22" s="383" customFormat="1" ht="21.75" customHeight="1">
      <c r="B75" s="425" t="s">
        <v>1387</v>
      </c>
      <c r="C75" s="426">
        <v>1163</v>
      </c>
      <c r="D75" s="428">
        <v>0</v>
      </c>
      <c r="E75" s="428">
        <v>107751</v>
      </c>
      <c r="F75" s="428">
        <f t="shared" ref="F75:K75" si="11">F94</f>
        <v>0</v>
      </c>
      <c r="G75" s="428">
        <f>G94</f>
        <v>0</v>
      </c>
      <c r="H75" s="428">
        <f>H94</f>
        <v>0</v>
      </c>
      <c r="I75" s="428">
        <f t="shared" si="11"/>
        <v>0</v>
      </c>
      <c r="J75" s="428">
        <f t="shared" si="11"/>
        <v>0</v>
      </c>
      <c r="K75" s="428">
        <f t="shared" si="11"/>
        <v>0</v>
      </c>
      <c r="L75" s="637">
        <f t="shared" si="8"/>
        <v>-200000</v>
      </c>
      <c r="M75" s="633">
        <v>200000</v>
      </c>
      <c r="N75" s="633">
        <v>200000</v>
      </c>
      <c r="O75" s="633">
        <v>40000</v>
      </c>
      <c r="P75" s="633">
        <v>80000</v>
      </c>
      <c r="Q75" s="633">
        <v>40000</v>
      </c>
      <c r="R75" s="633">
        <v>40000</v>
      </c>
      <c r="T75" s="384">
        <f t="shared" si="9"/>
        <v>-40000</v>
      </c>
      <c r="V75" s="3"/>
    </row>
    <row r="76" spans="2:22" s="3" customFormat="1" ht="21.75" customHeight="1">
      <c r="B76" s="699" t="s">
        <v>1547</v>
      </c>
      <c r="C76" s="700">
        <v>1170</v>
      </c>
      <c r="D76" s="417">
        <f>D78+D77</f>
        <v>0</v>
      </c>
      <c r="E76" s="417">
        <v>114667</v>
      </c>
      <c r="F76" s="417">
        <f>F78+F77</f>
        <v>114667</v>
      </c>
      <c r="G76" s="417">
        <f>G77+G78</f>
        <v>364008.31172886444</v>
      </c>
      <c r="H76" s="417">
        <f>H77+H78</f>
        <v>117791.4352738624</v>
      </c>
      <c r="I76" s="417">
        <f>I77+I78</f>
        <v>74558.958693056309</v>
      </c>
      <c r="J76" s="417">
        <f>J77+J78</f>
        <v>67727.902261020863</v>
      </c>
      <c r="K76" s="417">
        <f>K77+K78</f>
        <v>103930.01550092487</v>
      </c>
      <c r="L76" s="637">
        <f t="shared" si="8"/>
        <v>186508.31172886444</v>
      </c>
      <c r="M76" s="384">
        <v>177500</v>
      </c>
      <c r="N76" s="384">
        <v>177500</v>
      </c>
      <c r="O76" s="384">
        <v>44375</v>
      </c>
      <c r="P76" s="384">
        <v>44375</v>
      </c>
      <c r="Q76" s="384">
        <v>44375</v>
      </c>
      <c r="R76" s="384">
        <v>44375</v>
      </c>
      <c r="T76" s="384">
        <f t="shared" si="9"/>
        <v>73416.4352738624</v>
      </c>
    </row>
    <row r="77" spans="2:22" ht="21.75" customHeight="1">
      <c r="B77" s="425" t="s">
        <v>1630</v>
      </c>
      <c r="C77" s="426">
        <v>1171</v>
      </c>
      <c r="D77" s="428"/>
      <c r="E77" s="428">
        <v>114667</v>
      </c>
      <c r="F77" s="428">
        <f>E77</f>
        <v>114667</v>
      </c>
      <c r="G77" s="428">
        <f>SUM(H77:K77)</f>
        <v>134824.76</v>
      </c>
      <c r="H77" s="428">
        <f ca="1">Видатки!C20</f>
        <v>33706.19</v>
      </c>
      <c r="I77" s="428">
        <f ca="1">Видатки!D20</f>
        <v>33706.19</v>
      </c>
      <c r="J77" s="428">
        <f ca="1">Видатки!E20</f>
        <v>33706.19</v>
      </c>
      <c r="K77" s="428">
        <f ca="1">Видатки!F20</f>
        <v>33706.19</v>
      </c>
      <c r="L77" s="637">
        <f t="shared" si="8"/>
        <v>-42675.239999999991</v>
      </c>
      <c r="M77" s="393">
        <v>177500</v>
      </c>
      <c r="N77" s="393">
        <v>177500</v>
      </c>
      <c r="O77" s="393">
        <v>44375</v>
      </c>
      <c r="P77" s="393">
        <v>44375</v>
      </c>
      <c r="Q77" s="393">
        <v>44375</v>
      </c>
      <c r="R77" s="393">
        <v>44375</v>
      </c>
      <c r="T77" s="384">
        <f t="shared" si="9"/>
        <v>-10668.809999999998</v>
      </c>
      <c r="V77" s="3"/>
    </row>
    <row r="78" spans="2:22" ht="21.75" customHeight="1">
      <c r="B78" s="425" t="s">
        <v>274</v>
      </c>
      <c r="C78" s="426">
        <v>1172</v>
      </c>
      <c r="D78" s="428"/>
      <c r="E78" s="428">
        <v>0</v>
      </c>
      <c r="F78" s="428">
        <f>E78</f>
        <v>0</v>
      </c>
      <c r="G78" s="428">
        <f>H78+I78+J78+K78</f>
        <v>229183.55172886443</v>
      </c>
      <c r="H78" s="428">
        <f ca="1">Видатки!C18</f>
        <v>84085.245273862398</v>
      </c>
      <c r="I78" s="428">
        <f ca="1">Видатки!D18</f>
        <v>40852.768693056307</v>
      </c>
      <c r="J78" s="428">
        <f ca="1">Видатки!E18</f>
        <v>34021.712261020861</v>
      </c>
      <c r="K78" s="428">
        <f ca="1">Видатки!F18</f>
        <v>70223.825500924868</v>
      </c>
      <c r="L78" s="637">
        <f t="shared" si="8"/>
        <v>229183.55172886443</v>
      </c>
      <c r="M78" s="393">
        <v>0</v>
      </c>
      <c r="N78" s="393">
        <v>0</v>
      </c>
      <c r="O78" s="393">
        <v>0</v>
      </c>
      <c r="P78" s="393">
        <v>0</v>
      </c>
      <c r="Q78" s="393">
        <v>0</v>
      </c>
      <c r="R78" s="393">
        <v>0</v>
      </c>
      <c r="T78" s="384">
        <f t="shared" si="9"/>
        <v>84085.245273862398</v>
      </c>
      <c r="V78" s="3"/>
    </row>
    <row r="79" spans="2:22" ht="21.75" customHeight="1">
      <c r="B79" s="614" t="s">
        <v>1548</v>
      </c>
      <c r="C79" s="426">
        <v>1180</v>
      </c>
      <c r="D79" s="428">
        <v>0</v>
      </c>
      <c r="E79" s="428">
        <v>0</v>
      </c>
      <c r="F79" s="428">
        <f>E79</f>
        <v>0</v>
      </c>
      <c r="G79" s="428">
        <f>H79+I79+J79+K79</f>
        <v>0</v>
      </c>
      <c r="H79" s="428">
        <f ca="1">Видатки!C19</f>
        <v>0</v>
      </c>
      <c r="I79" s="428">
        <f ca="1">Видатки!D19</f>
        <v>0</v>
      </c>
      <c r="J79" s="428">
        <f ca="1">Видатки!E19</f>
        <v>0</v>
      </c>
      <c r="K79" s="428">
        <f ca="1">Видатки!F19</f>
        <v>0</v>
      </c>
      <c r="L79" s="637">
        <f t="shared" si="8"/>
        <v>0</v>
      </c>
      <c r="M79" s="393">
        <v>0</v>
      </c>
      <c r="N79" s="393">
        <v>0</v>
      </c>
      <c r="O79" s="393">
        <v>0</v>
      </c>
      <c r="P79" s="393">
        <v>0</v>
      </c>
      <c r="Q79" s="393">
        <v>0</v>
      </c>
      <c r="R79" s="393">
        <v>0</v>
      </c>
      <c r="T79" s="384">
        <f t="shared" si="9"/>
        <v>0</v>
      </c>
      <c r="V79" s="3"/>
    </row>
    <row r="80" spans="2:22" s="3" customFormat="1" ht="22.5">
      <c r="B80" s="429" t="s">
        <v>1549</v>
      </c>
      <c r="C80" s="430">
        <v>1200</v>
      </c>
      <c r="D80" s="432">
        <f>D39+D40+D44+D48</f>
        <v>0</v>
      </c>
      <c r="E80" s="432">
        <v>48465247</v>
      </c>
      <c r="F80" s="432">
        <f>F39+F40+F44+F48</f>
        <v>48465247</v>
      </c>
      <c r="G80" s="432">
        <f>H80+I80+J80+K80</f>
        <v>48904969.082777679</v>
      </c>
      <c r="H80" s="432">
        <f>H39+H40+H44+H48</f>
        <v>14456388.440212168</v>
      </c>
      <c r="I80" s="432">
        <f>I39+I40+I44+I48</f>
        <v>11628567.372814458</v>
      </c>
      <c r="J80" s="432">
        <f>J39+J40+J44+J48</f>
        <v>9915208.5364682246</v>
      </c>
      <c r="K80" s="432">
        <f>K39+K40+K44+K48</f>
        <v>12904804.733282829</v>
      </c>
      <c r="L80" s="637">
        <f t="shared" si="8"/>
        <v>-13445608.321118124</v>
      </c>
      <c r="M80" s="384">
        <v>62350577.403895803</v>
      </c>
      <c r="N80" s="384">
        <v>62350577.40389581</v>
      </c>
      <c r="O80" s="384">
        <v>16629651.004183017</v>
      </c>
      <c r="P80" s="384">
        <v>15238815.910583468</v>
      </c>
      <c r="Q80" s="384">
        <v>14687979.125063557</v>
      </c>
      <c r="R80" s="384">
        <v>15794131.364065763</v>
      </c>
      <c r="T80" s="384">
        <f t="shared" si="9"/>
        <v>-2173262.5639708489</v>
      </c>
    </row>
    <row r="81" spans="2:22" s="3" customFormat="1" ht="22.5">
      <c r="B81" s="429" t="s">
        <v>1550</v>
      </c>
      <c r="C81" s="430">
        <v>1300</v>
      </c>
      <c r="D81" s="432">
        <f>SUM(D52:D53)+D69+D70+D71+D76+D79+D55+D56+D57+SUM(D58:D62)+D72</f>
        <v>0</v>
      </c>
      <c r="E81" s="432">
        <v>48465247</v>
      </c>
      <c r="F81" s="432">
        <f>SUM(F52:F53)+F69+F70+F71+F76+F79+F55+F56+F57+SUM(F58:F62)+F72</f>
        <v>48465248</v>
      </c>
      <c r="G81" s="432">
        <f>H81+I81+J81+K81</f>
        <v>48904968.775275864</v>
      </c>
      <c r="H81" s="432">
        <f>SUM(H52:H53)+H69+H70+H71+H76+H79+H55+H56+H57+SUM(H58:H62)+H72-0.3</f>
        <v>14456388.402868859</v>
      </c>
      <c r="I81" s="432">
        <f>SUM(I52:I53)+I69+I70+I71+I76+I79+I55+I56+I57+SUM(I58:I62)+I72</f>
        <v>11628567.253086057</v>
      </c>
      <c r="J81" s="432">
        <f>SUM(J52:J53)+J69+J70+J71+J76+J79+J55+J56+J57+SUM(J58:J62)+J72</f>
        <v>9915208.5394270197</v>
      </c>
      <c r="K81" s="432">
        <f>SUM(K52:K53)+K69+K70+K71+K76+K79+K55+K56+K57+SUM(K58:K62)+K72</f>
        <v>12904804.579893926</v>
      </c>
      <c r="L81" s="637">
        <f t="shared" si="8"/>
        <v>-13445608.377211601</v>
      </c>
      <c r="M81" s="384">
        <v>62350577.152487464</v>
      </c>
      <c r="N81" s="384">
        <v>62350577.152487472</v>
      </c>
      <c r="O81" s="384">
        <v>16629651.007892715</v>
      </c>
      <c r="P81" s="384">
        <v>15238815.906742517</v>
      </c>
      <c r="Q81" s="384">
        <v>14687979.129694484</v>
      </c>
      <c r="R81" s="384">
        <v>15794131.108157754</v>
      </c>
      <c r="T81" s="384">
        <f t="shared" si="9"/>
        <v>-2173262.6050238553</v>
      </c>
    </row>
    <row r="82" spans="2:22" s="3" customFormat="1" ht="22.5">
      <c r="B82" s="429" t="s">
        <v>1551</v>
      </c>
      <c r="C82" s="430">
        <v>1400</v>
      </c>
      <c r="D82" s="432">
        <f t="shared" ref="D82:J82" si="12">D80-D81</f>
        <v>0</v>
      </c>
      <c r="E82" s="432">
        <f>E80-E81</f>
        <v>0</v>
      </c>
      <c r="F82" s="432">
        <f t="shared" si="12"/>
        <v>-1</v>
      </c>
      <c r="G82" s="432">
        <f>G80-G81</f>
        <v>0.30750181525945663</v>
      </c>
      <c r="H82" s="432">
        <f>H80-H81</f>
        <v>3.7343308329582214E-2</v>
      </c>
      <c r="I82" s="432">
        <f t="shared" si="12"/>
        <v>0.11972840130329132</v>
      </c>
      <c r="J82" s="432">
        <f t="shared" si="12"/>
        <v>-2.9587950557470322E-3</v>
      </c>
      <c r="K82" s="432">
        <f>K80-K81</f>
        <v>0.15338890254497528</v>
      </c>
      <c r="L82" s="637">
        <f>G82-M82</f>
        <v>5.6093476712703705E-2</v>
      </c>
      <c r="M82" s="384">
        <v>0.25140833854675293</v>
      </c>
      <c r="N82" s="384">
        <v>0.25140833854675293</v>
      </c>
      <c r="O82" s="384">
        <v>-3.7096980959177017E-3</v>
      </c>
      <c r="P82" s="384">
        <v>3.8409512490034103E-3</v>
      </c>
      <c r="Q82" s="384">
        <v>-4.6309269964694977E-3</v>
      </c>
      <c r="R82" s="384">
        <v>0.25590800866484642</v>
      </c>
      <c r="T82" s="384">
        <f t="shared" si="9"/>
        <v>4.1053006425499916E-2</v>
      </c>
    </row>
    <row r="83" spans="2:22" ht="22.5">
      <c r="B83" s="958"/>
      <c r="C83" s="959"/>
      <c r="D83" s="959"/>
      <c r="E83" s="959"/>
      <c r="F83" s="959"/>
      <c r="G83" s="959"/>
      <c r="H83" s="959"/>
      <c r="I83" s="959"/>
      <c r="J83" s="959"/>
      <c r="K83" s="959"/>
      <c r="L83" s="637">
        <f t="shared" si="8"/>
        <v>0</v>
      </c>
      <c r="T83" s="384">
        <f t="shared" si="9"/>
        <v>0</v>
      </c>
      <c r="V83" s="3"/>
    </row>
    <row r="84" spans="2:22" ht="21.75" customHeight="1">
      <c r="B84" s="953" t="s">
        <v>1552</v>
      </c>
      <c r="C84" s="953"/>
      <c r="D84" s="953"/>
      <c r="E84" s="953"/>
      <c r="F84" s="953"/>
      <c r="G84" s="953"/>
      <c r="H84" s="953"/>
      <c r="I84" s="953"/>
      <c r="J84" s="953"/>
      <c r="K84" s="953"/>
      <c r="L84" s="637">
        <f t="shared" si="8"/>
        <v>0</v>
      </c>
      <c r="T84" s="384">
        <f t="shared" si="9"/>
        <v>0</v>
      </c>
      <c r="V84" s="3"/>
    </row>
    <row r="85" spans="2:22" ht="21.75" customHeight="1">
      <c r="B85" s="918" t="s">
        <v>1553</v>
      </c>
      <c r="C85" s="919">
        <v>2010</v>
      </c>
      <c r="D85" s="428"/>
      <c r="E85" s="428">
        <v>5450162</v>
      </c>
      <c r="F85" s="428">
        <f>G85</f>
        <v>6020344.7640171144</v>
      </c>
      <c r="G85" s="428">
        <f>H85+I85+J85+K85</f>
        <v>6020344.7640171144</v>
      </c>
      <c r="H85" s="428">
        <f ca="1">Видатки!C21</f>
        <v>1689161.3107501124</v>
      </c>
      <c r="I85" s="428">
        <f ca="1">Видатки!D21</f>
        <v>1492595.8704198063</v>
      </c>
      <c r="J85" s="428">
        <f ca="1">Видатки!E21</f>
        <v>1284022.1156195209</v>
      </c>
      <c r="K85" s="428">
        <f ca="1">Видатки!F21</f>
        <v>1554565.4672276748</v>
      </c>
      <c r="L85" s="637">
        <f t="shared" si="8"/>
        <v>-1412765.896012973</v>
      </c>
      <c r="M85" s="2">
        <v>7433110.6600300875</v>
      </c>
      <c r="N85" s="2">
        <v>7433110.6600300875</v>
      </c>
      <c r="O85" s="2">
        <v>1890192.925274977</v>
      </c>
      <c r="P85" s="2">
        <v>1839723.2815806773</v>
      </c>
      <c r="Q85" s="2">
        <v>1816025.7242413987</v>
      </c>
      <c r="R85" s="2">
        <v>1887168.7289330342</v>
      </c>
      <c r="T85" s="384">
        <f t="shared" si="9"/>
        <v>-201031.61452486459</v>
      </c>
      <c r="V85" s="3"/>
    </row>
    <row r="86" spans="2:22" ht="21.75" customHeight="1">
      <c r="B86" s="918" t="s">
        <v>1554</v>
      </c>
      <c r="C86" s="919">
        <v>2020</v>
      </c>
      <c r="D86" s="428"/>
      <c r="E86" s="428">
        <v>5500</v>
      </c>
      <c r="F86" s="428">
        <f>G86</f>
        <v>4500</v>
      </c>
      <c r="G86" s="428">
        <f>H86+I86+J86+K86</f>
        <v>4500</v>
      </c>
      <c r="H86" s="428">
        <f ca="1">Видатки!C23</f>
        <v>4500</v>
      </c>
      <c r="I86" s="428">
        <f ca="1">Видатки!D23</f>
        <v>0</v>
      </c>
      <c r="J86" s="428">
        <f ca="1">Видатки!E23</f>
        <v>0</v>
      </c>
      <c r="K86" s="428">
        <f ca="1">Видатки!F23</f>
        <v>0</v>
      </c>
      <c r="L86" s="637">
        <f t="shared" si="8"/>
        <v>-1000</v>
      </c>
      <c r="M86" s="2">
        <v>5500</v>
      </c>
      <c r="N86" s="2">
        <v>5500</v>
      </c>
      <c r="O86" s="2">
        <v>4750</v>
      </c>
      <c r="P86" s="2">
        <v>250</v>
      </c>
      <c r="Q86" s="2">
        <v>250</v>
      </c>
      <c r="R86" s="2">
        <v>250</v>
      </c>
      <c r="T86" s="384">
        <f t="shared" si="9"/>
        <v>-250</v>
      </c>
      <c r="V86" s="3"/>
    </row>
    <row r="87" spans="2:22" ht="21.75" customHeight="1">
      <c r="B87" s="918" t="s">
        <v>1555</v>
      </c>
      <c r="C87" s="919">
        <v>2030</v>
      </c>
      <c r="D87" s="920"/>
      <c r="E87" s="428">
        <v>5805465</v>
      </c>
      <c r="F87" s="428">
        <f>G87</f>
        <v>6557848.5471970001</v>
      </c>
      <c r="G87" s="428">
        <f>H87+I87+J87+K87</f>
        <v>6557848.5471970001</v>
      </c>
      <c r="H87" s="428">
        <f ca="1">Видатки!C27+Видатки!C6+Видатки!C24</f>
        <v>1820720.4328450002</v>
      </c>
      <c r="I87" s="428">
        <f ca="1">Видатки!D27+Видатки!D6+Видатки!D24</f>
        <v>1642652.4737430001</v>
      </c>
      <c r="J87" s="428">
        <f ca="1">Видатки!E27+Видатки!E6+Видатки!E24</f>
        <v>1415045.3268660002</v>
      </c>
      <c r="K87" s="428">
        <f ca="1">Видатки!F27+Видатки!F6+Видатки!F24</f>
        <v>1679430.3137430002</v>
      </c>
      <c r="L87" s="637">
        <f t="shared" si="8"/>
        <v>-1433943.5361695057</v>
      </c>
      <c r="M87" s="2">
        <v>7991792.0833665058</v>
      </c>
      <c r="N87" s="2">
        <v>7991792.0833665058</v>
      </c>
      <c r="O87" s="2">
        <v>2020731.9432518978</v>
      </c>
      <c r="P87" s="2">
        <v>1978867.9771274133</v>
      </c>
      <c r="Q87" s="2">
        <v>1973137.3369841063</v>
      </c>
      <c r="R87" s="2">
        <v>2019054.8260030891</v>
      </c>
      <c r="T87" s="384">
        <f t="shared" si="9"/>
        <v>-200011.51040689764</v>
      </c>
      <c r="V87" s="3"/>
    </row>
    <row r="88" spans="2:22" ht="21.75" customHeight="1">
      <c r="B88" s="918" t="s">
        <v>1556</v>
      </c>
      <c r="C88" s="919">
        <v>2040</v>
      </c>
      <c r="D88" s="428"/>
      <c r="E88" s="428">
        <v>0</v>
      </c>
      <c r="F88" s="428">
        <f>G88</f>
        <v>0</v>
      </c>
      <c r="G88" s="428">
        <f>H88+I88+J88+K88</f>
        <v>0</v>
      </c>
      <c r="H88" s="428">
        <f ca="1">Видатки!C28</f>
        <v>0</v>
      </c>
      <c r="I88" s="428">
        <f ca="1">Видатки!D28</f>
        <v>0</v>
      </c>
      <c r="J88" s="428">
        <f ca="1">Видатки!E28</f>
        <v>0</v>
      </c>
      <c r="K88" s="428">
        <f ca="1">Видатки!F28</f>
        <v>0</v>
      </c>
      <c r="L88" s="637">
        <f t="shared" si="8"/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T88" s="384">
        <f t="shared" si="9"/>
        <v>0</v>
      </c>
      <c r="V88" s="3"/>
    </row>
    <row r="89" spans="2:22" ht="22.5">
      <c r="B89" s="938"/>
      <c r="C89" s="938"/>
      <c r="D89" s="938"/>
      <c r="E89" s="938"/>
      <c r="F89" s="938"/>
      <c r="G89" s="938"/>
      <c r="H89" s="938"/>
      <c r="I89" s="938"/>
      <c r="J89" s="938"/>
      <c r="K89" s="938"/>
      <c r="L89" s="637">
        <f t="shared" si="8"/>
        <v>0</v>
      </c>
      <c r="T89" s="384">
        <f t="shared" si="9"/>
        <v>0</v>
      </c>
      <c r="V89" s="3"/>
    </row>
    <row r="90" spans="2:22" ht="21.75" customHeight="1">
      <c r="B90" s="944" t="s">
        <v>1605</v>
      </c>
      <c r="C90" s="944"/>
      <c r="D90" s="944"/>
      <c r="E90" s="944"/>
      <c r="F90" s="944"/>
      <c r="G90" s="944"/>
      <c r="H90" s="944"/>
      <c r="I90" s="944"/>
      <c r="J90" s="944"/>
      <c r="K90" s="944"/>
      <c r="L90" s="637">
        <f t="shared" si="8"/>
        <v>0</v>
      </c>
      <c r="T90" s="384">
        <f t="shared" si="9"/>
        <v>0</v>
      </c>
      <c r="V90" s="3"/>
    </row>
    <row r="91" spans="2:22" ht="21.75" customHeight="1">
      <c r="B91" s="5" t="s">
        <v>1606</v>
      </c>
      <c r="C91" s="435">
        <v>3020</v>
      </c>
      <c r="D91" s="423">
        <f>SUM(D92:D97)</f>
        <v>0</v>
      </c>
      <c r="E91" s="423">
        <v>2396118</v>
      </c>
      <c r="F91" s="423">
        <f>SUM(F92:F97)</f>
        <v>400200</v>
      </c>
      <c r="G91" s="423">
        <f>H91+I91+J91+K91</f>
        <v>400200</v>
      </c>
      <c r="H91" s="423">
        <f>SUM(H92:H97)</f>
        <v>400200</v>
      </c>
      <c r="I91" s="423">
        <f>SUM(I92:I97)</f>
        <v>0</v>
      </c>
      <c r="J91" s="423">
        <f>SUM(J92:J97)</f>
        <v>0</v>
      </c>
      <c r="K91" s="423">
        <f>SUM(K92:K97)</f>
        <v>0</v>
      </c>
      <c r="L91" s="637">
        <f t="shared" si="8"/>
        <v>-2096800</v>
      </c>
      <c r="M91" s="2">
        <v>2497000</v>
      </c>
      <c r="N91" s="2">
        <v>2497000</v>
      </c>
      <c r="O91" s="2">
        <v>537000</v>
      </c>
      <c r="P91" s="2">
        <v>1080000</v>
      </c>
      <c r="Q91" s="2">
        <v>840000</v>
      </c>
      <c r="R91" s="2">
        <v>40000</v>
      </c>
      <c r="T91" s="384">
        <f t="shared" si="9"/>
        <v>-136800</v>
      </c>
      <c r="V91" s="3"/>
    </row>
    <row r="92" spans="2:22" ht="21.75" customHeight="1">
      <c r="B92" s="436" t="s">
        <v>1557</v>
      </c>
      <c r="C92" s="409">
        <v>3021</v>
      </c>
      <c r="D92" s="422">
        <v>0</v>
      </c>
      <c r="E92" s="422">
        <v>0</v>
      </c>
      <c r="F92" s="422">
        <f t="shared" ref="F92:F99" si="13">G92</f>
        <v>0</v>
      </c>
      <c r="G92" s="423">
        <f t="shared" ref="G92:G97" si="14">H92+I92+J92+K92</f>
        <v>0</v>
      </c>
      <c r="H92" s="423">
        <f ca="1">Видатки!C29</f>
        <v>0</v>
      </c>
      <c r="I92" s="423">
        <f ca="1">Видатки!D29</f>
        <v>0</v>
      </c>
      <c r="J92" s="423">
        <f ca="1">Видатки!E29</f>
        <v>0</v>
      </c>
      <c r="K92" s="423">
        <f ca="1">Видатки!F29</f>
        <v>0</v>
      </c>
      <c r="L92" s="637">
        <f t="shared" si="8"/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T92" s="384">
        <f t="shared" si="9"/>
        <v>0</v>
      </c>
      <c r="V92" s="3"/>
    </row>
    <row r="93" spans="2:22" ht="21.75" customHeight="1">
      <c r="B93" s="436" t="s">
        <v>1558</v>
      </c>
      <c r="C93" s="435">
        <v>3022</v>
      </c>
      <c r="D93" s="422"/>
      <c r="E93" s="422">
        <v>0</v>
      </c>
      <c r="F93" s="422">
        <f t="shared" si="13"/>
        <v>400200</v>
      </c>
      <c r="G93" s="423">
        <f>H93+I93+J93+K93</f>
        <v>400200</v>
      </c>
      <c r="H93" s="423">
        <f ca="1">Видатки!C30</f>
        <v>400200</v>
      </c>
      <c r="I93" s="423">
        <f ca="1">Видатки!D30</f>
        <v>0</v>
      </c>
      <c r="J93" s="423">
        <f ca="1">Видатки!E30</f>
        <v>0</v>
      </c>
      <c r="K93" s="423">
        <f ca="1">Видатки!F30</f>
        <v>0</v>
      </c>
      <c r="L93" s="637">
        <f t="shared" si="8"/>
        <v>-1896800</v>
      </c>
      <c r="M93" s="2">
        <v>2297000</v>
      </c>
      <c r="N93" s="2">
        <v>2297000</v>
      </c>
      <c r="O93" s="2">
        <v>497000</v>
      </c>
      <c r="P93" s="2">
        <v>1000000</v>
      </c>
      <c r="Q93" s="2">
        <v>800000</v>
      </c>
      <c r="R93" s="2">
        <v>0</v>
      </c>
      <c r="T93" s="384">
        <f t="shared" si="9"/>
        <v>-96800</v>
      </c>
      <c r="V93" s="3"/>
    </row>
    <row r="94" spans="2:22" ht="21.75" customHeight="1">
      <c r="B94" s="436" t="s">
        <v>1559</v>
      </c>
      <c r="C94" s="409">
        <v>3023</v>
      </c>
      <c r="D94" s="422"/>
      <c r="E94" s="422">
        <v>107751</v>
      </c>
      <c r="F94" s="422">
        <f t="shared" si="13"/>
        <v>0</v>
      </c>
      <c r="G94" s="423">
        <f t="shared" si="14"/>
        <v>0</v>
      </c>
      <c r="H94" s="423">
        <f ca="1">Видатки!C31</f>
        <v>0</v>
      </c>
      <c r="I94" s="423">
        <f ca="1">Видатки!D31</f>
        <v>0</v>
      </c>
      <c r="J94" s="423">
        <f ca="1">Видатки!E31</f>
        <v>0</v>
      </c>
      <c r="K94" s="423">
        <f ca="1">Видатки!F31</f>
        <v>0</v>
      </c>
      <c r="L94" s="637">
        <f t="shared" si="8"/>
        <v>-200000</v>
      </c>
      <c r="M94" s="2">
        <v>200000</v>
      </c>
      <c r="N94" s="2">
        <v>200000</v>
      </c>
      <c r="O94" s="2">
        <v>40000</v>
      </c>
      <c r="P94" s="2">
        <v>80000</v>
      </c>
      <c r="Q94" s="2">
        <v>40000</v>
      </c>
      <c r="R94" s="2">
        <v>40000</v>
      </c>
      <c r="T94" s="384">
        <f t="shared" si="9"/>
        <v>-40000</v>
      </c>
      <c r="V94" s="3"/>
    </row>
    <row r="95" spans="2:22" ht="21.75" customHeight="1">
      <c r="B95" s="436" t="s">
        <v>1560</v>
      </c>
      <c r="C95" s="435">
        <v>3024</v>
      </c>
      <c r="D95" s="422"/>
      <c r="E95" s="422">
        <v>0</v>
      </c>
      <c r="F95" s="422">
        <f t="shared" si="13"/>
        <v>0</v>
      </c>
      <c r="G95" s="423">
        <f>H95+I95+J95+K95</f>
        <v>0</v>
      </c>
      <c r="H95" s="423">
        <f ca="1">Видатки!C32</f>
        <v>0</v>
      </c>
      <c r="I95" s="423">
        <f ca="1">Видатки!D32</f>
        <v>0</v>
      </c>
      <c r="J95" s="423">
        <f ca="1">Видатки!E32</f>
        <v>0</v>
      </c>
      <c r="K95" s="423">
        <f ca="1">Видатки!F32</f>
        <v>0</v>
      </c>
      <c r="L95" s="637">
        <f t="shared" si="8"/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T95" s="384">
        <f t="shared" si="9"/>
        <v>0</v>
      </c>
      <c r="V95" s="3"/>
    </row>
    <row r="96" spans="2:22" ht="21.75" customHeight="1">
      <c r="B96" s="436" t="s">
        <v>1561</v>
      </c>
      <c r="C96" s="409">
        <v>3025</v>
      </c>
      <c r="D96" s="422">
        <v>0</v>
      </c>
      <c r="E96" s="422">
        <v>0</v>
      </c>
      <c r="F96" s="422">
        <f t="shared" si="13"/>
        <v>0</v>
      </c>
      <c r="G96" s="423">
        <f>H96+I96+J96+K96</f>
        <v>0</v>
      </c>
      <c r="H96" s="423">
        <f ca="1">Видатки!C33</f>
        <v>0</v>
      </c>
      <c r="I96" s="423">
        <f ca="1">Видатки!D33</f>
        <v>0</v>
      </c>
      <c r="J96" s="423">
        <f ca="1">Видатки!E33</f>
        <v>0</v>
      </c>
      <c r="K96" s="423">
        <f ca="1">Видатки!F33</f>
        <v>0</v>
      </c>
      <c r="L96" s="637">
        <f t="shared" si="8"/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T96" s="384">
        <f t="shared" si="9"/>
        <v>0</v>
      </c>
      <c r="V96" s="3"/>
    </row>
    <row r="97" spans="2:22" ht="21.75" customHeight="1">
      <c r="B97" s="436" t="s">
        <v>1562</v>
      </c>
      <c r="C97" s="435">
        <v>3026</v>
      </c>
      <c r="D97" s="422">
        <v>0</v>
      </c>
      <c r="E97" s="422">
        <v>2288367</v>
      </c>
      <c r="F97" s="422">
        <f t="shared" si="13"/>
        <v>0</v>
      </c>
      <c r="G97" s="423">
        <f t="shared" si="14"/>
        <v>0</v>
      </c>
      <c r="H97" s="423">
        <f ca="1">Видатки!C34</f>
        <v>0</v>
      </c>
      <c r="I97" s="423">
        <f ca="1">Видатки!D34</f>
        <v>0</v>
      </c>
      <c r="J97" s="423">
        <f ca="1">Видатки!E34</f>
        <v>0</v>
      </c>
      <c r="K97" s="423">
        <f ca="1">Видатки!F34</f>
        <v>0</v>
      </c>
      <c r="L97" s="637">
        <f t="shared" si="8"/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T97" s="384">
        <f t="shared" si="9"/>
        <v>0</v>
      </c>
      <c r="V97" s="3"/>
    </row>
    <row r="98" spans="2:22" ht="21.75" customHeight="1">
      <c r="B98" s="406" t="s">
        <v>1621</v>
      </c>
      <c r="C98" s="404">
        <v>3030</v>
      </c>
      <c r="D98" s="422"/>
      <c r="E98" s="422">
        <v>0</v>
      </c>
      <c r="F98" s="422">
        <f t="shared" si="13"/>
        <v>0</v>
      </c>
      <c r="G98" s="423">
        <v>0</v>
      </c>
      <c r="H98" s="423">
        <v>0</v>
      </c>
      <c r="I98" s="423">
        <v>0</v>
      </c>
      <c r="J98" s="423">
        <v>0</v>
      </c>
      <c r="K98" s="423">
        <v>0</v>
      </c>
      <c r="L98" s="637">
        <f t="shared" si="8"/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T98" s="384">
        <f t="shared" si="9"/>
        <v>0</v>
      </c>
      <c r="V98" s="3"/>
    </row>
    <row r="99" spans="2:22" ht="21.75" customHeight="1">
      <c r="B99" s="406" t="s">
        <v>1425</v>
      </c>
      <c r="C99" s="404">
        <v>3040</v>
      </c>
      <c r="D99" s="422"/>
      <c r="E99" s="422">
        <v>1750751</v>
      </c>
      <c r="F99" s="422">
        <f t="shared" si="13"/>
        <v>1752250.6800000002</v>
      </c>
      <c r="G99" s="423">
        <f>H99+I99+J99+K99</f>
        <v>1752250.6800000002</v>
      </c>
      <c r="H99" s="423">
        <f ca="1">Видатки!C36</f>
        <v>437687.67000000004</v>
      </c>
      <c r="I99" s="423">
        <f ca="1">Видатки!D36</f>
        <v>437687.67000000004</v>
      </c>
      <c r="J99" s="423">
        <f ca="1">Видатки!E36</f>
        <v>437987.67000000004</v>
      </c>
      <c r="K99" s="423">
        <f ca="1">Видатки!F36</f>
        <v>438887.67000000004</v>
      </c>
      <c r="L99" s="637">
        <f t="shared" si="8"/>
        <v>1500</v>
      </c>
      <c r="M99" s="2">
        <v>1750750.6800000002</v>
      </c>
      <c r="N99" s="2">
        <v>1750750.6800000002</v>
      </c>
      <c r="O99" s="2">
        <v>437687.67000000004</v>
      </c>
      <c r="P99" s="2">
        <v>437687.67000000004</v>
      </c>
      <c r="Q99" s="2">
        <v>437687.67000000004</v>
      </c>
      <c r="R99" s="2">
        <v>437687.67000000004</v>
      </c>
      <c r="T99" s="384">
        <f t="shared" si="9"/>
        <v>0</v>
      </c>
      <c r="V99" s="3"/>
    </row>
    <row r="100" spans="2:22" ht="21.75" customHeight="1">
      <c r="B100" s="938"/>
      <c r="C100" s="938"/>
      <c r="D100" s="938"/>
      <c r="E100" s="938"/>
      <c r="F100" s="938"/>
      <c r="G100" s="938"/>
      <c r="H100" s="938"/>
      <c r="I100" s="938"/>
      <c r="J100" s="938"/>
      <c r="K100" s="938"/>
      <c r="L100" s="637">
        <f t="shared" si="8"/>
        <v>0</v>
      </c>
      <c r="T100" s="384">
        <f t="shared" si="9"/>
        <v>0</v>
      </c>
      <c r="V100" s="3"/>
    </row>
    <row r="101" spans="2:22" ht="21.75" customHeight="1">
      <c r="B101" s="944" t="s">
        <v>1607</v>
      </c>
      <c r="C101" s="944"/>
      <c r="D101" s="944"/>
      <c r="E101" s="944"/>
      <c r="F101" s="944"/>
      <c r="G101" s="944"/>
      <c r="H101" s="944"/>
      <c r="I101" s="944"/>
      <c r="J101" s="944"/>
      <c r="K101" s="944"/>
      <c r="L101" s="637">
        <f t="shared" si="8"/>
        <v>0</v>
      </c>
      <c r="T101" s="384">
        <f t="shared" si="9"/>
        <v>0</v>
      </c>
      <c r="V101" s="3"/>
    </row>
    <row r="102" spans="2:22" ht="21.75" customHeight="1">
      <c r="B102" s="406" t="s">
        <v>1563</v>
      </c>
      <c r="C102" s="404">
        <v>4010</v>
      </c>
      <c r="D102" s="423">
        <f t="shared" ref="D102:K102" si="15">D103+D104+D105</f>
        <v>0</v>
      </c>
      <c r="E102" s="423">
        <v>1200</v>
      </c>
      <c r="F102" s="423">
        <f t="shared" si="15"/>
        <v>1200</v>
      </c>
      <c r="G102" s="423">
        <f t="shared" si="15"/>
        <v>1200</v>
      </c>
      <c r="H102" s="423">
        <f t="shared" si="15"/>
        <v>300</v>
      </c>
      <c r="I102" s="423">
        <f t="shared" si="15"/>
        <v>300</v>
      </c>
      <c r="J102" s="423">
        <f t="shared" si="15"/>
        <v>300</v>
      </c>
      <c r="K102" s="423">
        <f t="shared" si="15"/>
        <v>300</v>
      </c>
      <c r="L102" s="637">
        <f t="shared" si="8"/>
        <v>0</v>
      </c>
      <c r="M102" s="2">
        <v>1200</v>
      </c>
      <c r="N102" s="2">
        <v>1200</v>
      </c>
      <c r="O102" s="2">
        <v>300</v>
      </c>
      <c r="P102" s="2">
        <v>300</v>
      </c>
      <c r="Q102" s="2">
        <v>300</v>
      </c>
      <c r="R102" s="2">
        <v>300</v>
      </c>
      <c r="T102" s="384">
        <f t="shared" si="9"/>
        <v>0</v>
      </c>
      <c r="V102" s="3"/>
    </row>
    <row r="103" spans="2:22" ht="21.75" customHeight="1">
      <c r="B103" s="436" t="s">
        <v>1564</v>
      </c>
      <c r="C103" s="404">
        <v>4011</v>
      </c>
      <c r="D103" s="422">
        <v>0</v>
      </c>
      <c r="E103" s="428">
        <v>0</v>
      </c>
      <c r="F103" s="422">
        <f>G103</f>
        <v>0</v>
      </c>
      <c r="G103" s="423">
        <f t="shared" ref="G103:G111" si="16">H103+I103+J103+K103</f>
        <v>0</v>
      </c>
      <c r="H103" s="428"/>
      <c r="I103" s="428"/>
      <c r="J103" s="428"/>
      <c r="K103" s="428"/>
      <c r="L103" s="637">
        <f t="shared" ref="L103:L113" si="17">G103-M103</f>
        <v>0</v>
      </c>
      <c r="M103" s="2">
        <v>0</v>
      </c>
      <c r="N103" s="2">
        <v>0</v>
      </c>
      <c r="T103" s="384">
        <f t="shared" ref="T103:T134" si="18">H103-O103</f>
        <v>0</v>
      </c>
      <c r="V103" s="3"/>
    </row>
    <row r="104" spans="2:22" ht="21.75" customHeight="1">
      <c r="B104" s="436" t="s">
        <v>1565</v>
      </c>
      <c r="C104" s="404">
        <v>4012</v>
      </c>
      <c r="D104" s="422">
        <v>0</v>
      </c>
      <c r="E104" s="428">
        <v>0</v>
      </c>
      <c r="F104" s="422">
        <f>G104</f>
        <v>0</v>
      </c>
      <c r="G104" s="423">
        <f t="shared" si="16"/>
        <v>0</v>
      </c>
      <c r="H104" s="428"/>
      <c r="I104" s="428"/>
      <c r="J104" s="428"/>
      <c r="K104" s="428"/>
      <c r="L104" s="637">
        <f t="shared" si="17"/>
        <v>0</v>
      </c>
      <c r="M104" s="2">
        <v>0</v>
      </c>
      <c r="N104" s="2">
        <v>0</v>
      </c>
      <c r="T104" s="384">
        <f t="shared" si="18"/>
        <v>0</v>
      </c>
      <c r="V104" s="3"/>
    </row>
    <row r="105" spans="2:22" ht="21.75" customHeight="1">
      <c r="B105" s="436" t="s">
        <v>1566</v>
      </c>
      <c r="C105" s="404">
        <v>4013</v>
      </c>
      <c r="D105" s="423">
        <f>D49</f>
        <v>0</v>
      </c>
      <c r="E105" s="423">
        <v>1200</v>
      </c>
      <c r="F105" s="423">
        <f>F49</f>
        <v>1200</v>
      </c>
      <c r="G105" s="423">
        <f t="shared" si="16"/>
        <v>1200</v>
      </c>
      <c r="H105" s="423">
        <f>H49</f>
        <v>300</v>
      </c>
      <c r="I105" s="423">
        <f>I49</f>
        <v>300</v>
      </c>
      <c r="J105" s="423">
        <f>J49</f>
        <v>300</v>
      </c>
      <c r="K105" s="423">
        <f>K49</f>
        <v>300</v>
      </c>
      <c r="L105" s="637">
        <f t="shared" si="17"/>
        <v>0</v>
      </c>
      <c r="M105" s="2">
        <v>1200</v>
      </c>
      <c r="N105" s="2">
        <v>1200</v>
      </c>
      <c r="O105" s="2">
        <v>300</v>
      </c>
      <c r="P105" s="2">
        <v>300</v>
      </c>
      <c r="Q105" s="2">
        <v>300</v>
      </c>
      <c r="R105" s="2">
        <v>300</v>
      </c>
      <c r="T105" s="384">
        <f t="shared" si="18"/>
        <v>0</v>
      </c>
      <c r="V105" s="3"/>
    </row>
    <row r="106" spans="2:22" ht="21.75" customHeight="1">
      <c r="B106" s="406" t="s">
        <v>1567</v>
      </c>
      <c r="C106" s="404">
        <v>4020</v>
      </c>
      <c r="D106" s="422">
        <v>0</v>
      </c>
      <c r="E106" s="422">
        <v>0</v>
      </c>
      <c r="F106" s="422">
        <f>G106</f>
        <v>0</v>
      </c>
      <c r="G106" s="423">
        <f t="shared" si="16"/>
        <v>0</v>
      </c>
      <c r="H106" s="428"/>
      <c r="I106" s="428"/>
      <c r="J106" s="428"/>
      <c r="K106" s="428"/>
      <c r="L106" s="637">
        <f t="shared" si="17"/>
        <v>0</v>
      </c>
      <c r="M106" s="2">
        <v>0</v>
      </c>
      <c r="N106" s="2">
        <v>0</v>
      </c>
      <c r="T106" s="384">
        <f t="shared" si="18"/>
        <v>0</v>
      </c>
      <c r="V106" s="3"/>
    </row>
    <row r="107" spans="2:22" ht="21.75" customHeight="1">
      <c r="B107" s="406" t="s">
        <v>1568</v>
      </c>
      <c r="C107" s="404">
        <v>4030</v>
      </c>
      <c r="D107" s="423">
        <f>D108+D109+D110</f>
        <v>0</v>
      </c>
      <c r="E107" s="423">
        <f>E108+E109+E110</f>
        <v>0</v>
      </c>
      <c r="F107" s="423">
        <f>F108+F109+F110</f>
        <v>0</v>
      </c>
      <c r="G107" s="423">
        <f t="shared" si="16"/>
        <v>0</v>
      </c>
      <c r="H107" s="432"/>
      <c r="I107" s="432"/>
      <c r="J107" s="432"/>
      <c r="K107" s="432"/>
      <c r="L107" s="637">
        <f t="shared" si="17"/>
        <v>0</v>
      </c>
      <c r="M107" s="2">
        <v>0</v>
      </c>
      <c r="N107" s="2">
        <v>0</v>
      </c>
      <c r="T107" s="384">
        <f t="shared" si="18"/>
        <v>0</v>
      </c>
      <c r="V107" s="3"/>
    </row>
    <row r="108" spans="2:22" ht="21.75" customHeight="1">
      <c r="B108" s="436" t="s">
        <v>1564</v>
      </c>
      <c r="C108" s="404">
        <v>4031</v>
      </c>
      <c r="D108" s="422">
        <v>0</v>
      </c>
      <c r="E108" s="422">
        <v>0</v>
      </c>
      <c r="F108" s="422">
        <f>G108</f>
        <v>0</v>
      </c>
      <c r="G108" s="423">
        <f t="shared" si="16"/>
        <v>0</v>
      </c>
      <c r="H108" s="428"/>
      <c r="I108" s="428"/>
      <c r="J108" s="428"/>
      <c r="K108" s="428"/>
      <c r="L108" s="637">
        <f t="shared" si="17"/>
        <v>0</v>
      </c>
      <c r="M108" s="2">
        <v>0</v>
      </c>
      <c r="N108" s="2">
        <v>0</v>
      </c>
      <c r="T108" s="384">
        <f t="shared" si="18"/>
        <v>0</v>
      </c>
      <c r="V108" s="3"/>
    </row>
    <row r="109" spans="2:22" ht="21.75" customHeight="1">
      <c r="B109" s="436" t="s">
        <v>1565</v>
      </c>
      <c r="C109" s="404">
        <v>4032</v>
      </c>
      <c r="D109" s="422">
        <v>0</v>
      </c>
      <c r="E109" s="422">
        <v>0</v>
      </c>
      <c r="F109" s="422">
        <f>G109</f>
        <v>0</v>
      </c>
      <c r="G109" s="423">
        <f t="shared" si="16"/>
        <v>0</v>
      </c>
      <c r="H109" s="428"/>
      <c r="I109" s="428"/>
      <c r="J109" s="428"/>
      <c r="K109" s="428"/>
      <c r="L109" s="637">
        <f t="shared" si="17"/>
        <v>0</v>
      </c>
      <c r="M109" s="2">
        <v>0</v>
      </c>
      <c r="N109" s="2">
        <v>0</v>
      </c>
      <c r="T109" s="384">
        <f t="shared" si="18"/>
        <v>0</v>
      </c>
      <c r="V109" s="3"/>
    </row>
    <row r="110" spans="2:22" ht="21.75" customHeight="1">
      <c r="B110" s="436" t="s">
        <v>1566</v>
      </c>
      <c r="C110" s="404">
        <v>4033</v>
      </c>
      <c r="D110" s="422">
        <v>0</v>
      </c>
      <c r="E110" s="422">
        <v>0</v>
      </c>
      <c r="F110" s="422">
        <f>G110</f>
        <v>0</v>
      </c>
      <c r="G110" s="423">
        <f t="shared" si="16"/>
        <v>0</v>
      </c>
      <c r="H110" s="428"/>
      <c r="I110" s="428"/>
      <c r="J110" s="428"/>
      <c r="K110" s="428"/>
      <c r="L110" s="637">
        <f t="shared" si="17"/>
        <v>0</v>
      </c>
      <c r="M110" s="2">
        <v>0</v>
      </c>
      <c r="N110" s="2">
        <v>0</v>
      </c>
      <c r="T110" s="384">
        <f t="shared" si="18"/>
        <v>0</v>
      </c>
      <c r="V110" s="3"/>
    </row>
    <row r="111" spans="2:22" ht="21.75" customHeight="1">
      <c r="B111" s="406" t="s">
        <v>1569</v>
      </c>
      <c r="C111" s="404">
        <v>4040</v>
      </c>
      <c r="D111" s="422">
        <v>0</v>
      </c>
      <c r="E111" s="422">
        <v>0</v>
      </c>
      <c r="F111" s="422">
        <f>G111</f>
        <v>0</v>
      </c>
      <c r="G111" s="423">
        <f t="shared" si="16"/>
        <v>0</v>
      </c>
      <c r="H111" s="428"/>
      <c r="I111" s="428"/>
      <c r="J111" s="428"/>
      <c r="K111" s="428"/>
      <c r="L111" s="637">
        <f t="shared" si="17"/>
        <v>0</v>
      </c>
      <c r="M111" s="2">
        <v>0</v>
      </c>
      <c r="N111" s="2">
        <v>0</v>
      </c>
      <c r="T111" s="384">
        <f t="shared" si="18"/>
        <v>0</v>
      </c>
      <c r="V111" s="3"/>
    </row>
    <row r="112" spans="2:22" s="4" customFormat="1" ht="21.75" customHeight="1">
      <c r="B112" s="945"/>
      <c r="C112" s="945"/>
      <c r="D112" s="945"/>
      <c r="E112" s="945"/>
      <c r="F112" s="945"/>
      <c r="G112" s="945"/>
      <c r="H112" s="945"/>
      <c r="I112" s="945"/>
      <c r="J112" s="945"/>
      <c r="K112" s="945"/>
      <c r="L112" s="637">
        <f t="shared" si="17"/>
        <v>0</v>
      </c>
      <c r="T112" s="384">
        <f t="shared" si="18"/>
        <v>0</v>
      </c>
      <c r="V112" s="3"/>
    </row>
    <row r="113" spans="2:22" s="4" customFormat="1" ht="21.75" customHeight="1">
      <c r="B113" s="944" t="s">
        <v>1570</v>
      </c>
      <c r="C113" s="944"/>
      <c r="D113" s="944"/>
      <c r="E113" s="944"/>
      <c r="F113" s="944"/>
      <c r="G113" s="944"/>
      <c r="H113" s="944"/>
      <c r="I113" s="944"/>
      <c r="J113" s="944"/>
      <c r="K113" s="944"/>
      <c r="L113" s="637">
        <f t="shared" si="17"/>
        <v>0</v>
      </c>
      <c r="T113" s="384">
        <f t="shared" si="18"/>
        <v>0</v>
      </c>
      <c r="V113" s="3"/>
    </row>
    <row r="114" spans="2:22" s="4" customFormat="1" ht="21.75" customHeight="1">
      <c r="B114" s="406" t="s">
        <v>1571</v>
      </c>
      <c r="C114" s="404">
        <v>5010</v>
      </c>
      <c r="D114" s="409" t="s">
        <v>1591</v>
      </c>
      <c r="E114" s="409" t="s">
        <v>1591</v>
      </c>
      <c r="F114" s="409" t="s">
        <v>1591</v>
      </c>
      <c r="G114" s="409" t="s">
        <v>1591</v>
      </c>
      <c r="H114" s="409" t="s">
        <v>1591</v>
      </c>
      <c r="I114" s="409" t="s">
        <v>1591</v>
      </c>
      <c r="J114" s="409" t="s">
        <v>1591</v>
      </c>
      <c r="K114" s="409" t="s">
        <v>1591</v>
      </c>
      <c r="L114" s="637"/>
      <c r="M114" s="4" t="s">
        <v>1591</v>
      </c>
      <c r="N114" s="4" t="s">
        <v>1591</v>
      </c>
      <c r="O114" s="4" t="s">
        <v>1591</v>
      </c>
      <c r="P114" s="4" t="s">
        <v>1591</v>
      </c>
      <c r="Q114" s="4" t="s">
        <v>1591</v>
      </c>
      <c r="R114" s="4" t="s">
        <v>1591</v>
      </c>
      <c r="T114" s="384" t="e">
        <f t="shared" si="18"/>
        <v>#VALUE!</v>
      </c>
      <c r="V114" s="3"/>
    </row>
    <row r="115" spans="2:22" s="4" customFormat="1" ht="21.75" customHeight="1">
      <c r="B115" s="406" t="s">
        <v>1572</v>
      </c>
      <c r="C115" s="404">
        <v>5020</v>
      </c>
      <c r="D115" s="409" t="s">
        <v>1591</v>
      </c>
      <c r="E115" s="409" t="s">
        <v>1591</v>
      </c>
      <c r="F115" s="409" t="s">
        <v>1591</v>
      </c>
      <c r="G115" s="409" t="s">
        <v>1591</v>
      </c>
      <c r="H115" s="409" t="s">
        <v>1591</v>
      </c>
      <c r="I115" s="409" t="s">
        <v>1591</v>
      </c>
      <c r="J115" s="409" t="s">
        <v>1591</v>
      </c>
      <c r="K115" s="409" t="s">
        <v>1591</v>
      </c>
      <c r="L115" s="637"/>
      <c r="M115" s="4" t="s">
        <v>1591</v>
      </c>
      <c r="N115" s="4" t="s">
        <v>1591</v>
      </c>
      <c r="O115" s="4" t="s">
        <v>1591</v>
      </c>
      <c r="P115" s="4" t="s">
        <v>1591</v>
      </c>
      <c r="Q115" s="4" t="s">
        <v>1591</v>
      </c>
      <c r="R115" s="4" t="s">
        <v>1591</v>
      </c>
      <c r="T115" s="384" t="e">
        <f t="shared" si="18"/>
        <v>#VALUE!</v>
      </c>
      <c r="V115" s="3"/>
    </row>
    <row r="116" spans="2:22" s="4" customFormat="1" ht="21.75" customHeight="1">
      <c r="B116" s="406" t="s">
        <v>1629</v>
      </c>
      <c r="C116" s="404">
        <v>5030</v>
      </c>
      <c r="D116" s="409" t="s">
        <v>1591</v>
      </c>
      <c r="E116" s="409" t="s">
        <v>1591</v>
      </c>
      <c r="F116" s="409" t="s">
        <v>1591</v>
      </c>
      <c r="G116" s="409" t="s">
        <v>1591</v>
      </c>
      <c r="H116" s="409" t="s">
        <v>1591</v>
      </c>
      <c r="I116" s="409" t="s">
        <v>1591</v>
      </c>
      <c r="J116" s="409" t="s">
        <v>1591</v>
      </c>
      <c r="K116" s="409" t="s">
        <v>1591</v>
      </c>
      <c r="L116" s="637"/>
      <c r="M116" s="4" t="s">
        <v>1591</v>
      </c>
      <c r="N116" s="4" t="s">
        <v>1591</v>
      </c>
      <c r="O116" s="4" t="s">
        <v>1591</v>
      </c>
      <c r="P116" s="4" t="s">
        <v>1591</v>
      </c>
      <c r="Q116" s="4" t="s">
        <v>1591</v>
      </c>
      <c r="R116" s="4" t="s">
        <v>1591</v>
      </c>
      <c r="T116" s="384" t="e">
        <f t="shared" si="18"/>
        <v>#VALUE!</v>
      </c>
      <c r="V116" s="3"/>
    </row>
    <row r="117" spans="2:22" s="4" customFormat="1" ht="21.75" customHeight="1">
      <c r="B117" s="406" t="s">
        <v>1573</v>
      </c>
      <c r="C117" s="404">
        <v>5040</v>
      </c>
      <c r="D117" s="409" t="s">
        <v>1591</v>
      </c>
      <c r="E117" s="409" t="s">
        <v>1591</v>
      </c>
      <c r="F117" s="409" t="s">
        <v>1591</v>
      </c>
      <c r="G117" s="409" t="s">
        <v>1591</v>
      </c>
      <c r="H117" s="409" t="s">
        <v>1591</v>
      </c>
      <c r="I117" s="409" t="s">
        <v>1591</v>
      </c>
      <c r="J117" s="409" t="s">
        <v>1591</v>
      </c>
      <c r="K117" s="409" t="s">
        <v>1591</v>
      </c>
      <c r="L117" s="637"/>
      <c r="M117" s="4" t="s">
        <v>1591</v>
      </c>
      <c r="N117" s="4" t="s">
        <v>1591</v>
      </c>
      <c r="O117" s="4" t="s">
        <v>1591</v>
      </c>
      <c r="P117" s="4" t="s">
        <v>1591</v>
      </c>
      <c r="Q117" s="4" t="s">
        <v>1591</v>
      </c>
      <c r="R117" s="4" t="s">
        <v>1591</v>
      </c>
      <c r="T117" s="384" t="e">
        <f t="shared" si="18"/>
        <v>#VALUE!</v>
      </c>
      <c r="V117" s="3"/>
    </row>
    <row r="118" spans="2:22" s="4" customFormat="1" ht="21.75" customHeight="1">
      <c r="B118" s="939"/>
      <c r="C118" s="939"/>
      <c r="D118" s="939"/>
      <c r="E118" s="939"/>
      <c r="F118" s="939"/>
      <c r="G118" s="939"/>
      <c r="H118" s="939"/>
      <c r="I118" s="939"/>
      <c r="J118" s="939"/>
      <c r="K118" s="939"/>
      <c r="L118" s="637"/>
      <c r="T118" s="384">
        <f t="shared" si="18"/>
        <v>0</v>
      </c>
      <c r="V118" s="3"/>
    </row>
    <row r="119" spans="2:22" s="4" customFormat="1" ht="21.75" customHeight="1">
      <c r="B119" s="944" t="s">
        <v>1574</v>
      </c>
      <c r="C119" s="944"/>
      <c r="D119" s="944"/>
      <c r="E119" s="944"/>
      <c r="F119" s="944"/>
      <c r="G119" s="944"/>
      <c r="H119" s="944"/>
      <c r="I119" s="944"/>
      <c r="J119" s="944"/>
      <c r="K119" s="944"/>
      <c r="L119" s="637"/>
      <c r="T119" s="384">
        <f t="shared" si="18"/>
        <v>0</v>
      </c>
      <c r="V119" s="3"/>
    </row>
    <row r="120" spans="2:22" s="4" customFormat="1" ht="21.75" customHeight="1">
      <c r="B120" s="406" t="s">
        <v>1631</v>
      </c>
      <c r="C120" s="409">
        <v>6010</v>
      </c>
      <c r="D120" s="409" t="s">
        <v>1591</v>
      </c>
      <c r="E120" s="409" t="s">
        <v>1591</v>
      </c>
      <c r="F120" s="409" t="s">
        <v>1591</v>
      </c>
      <c r="G120" s="409" t="s">
        <v>1591</v>
      </c>
      <c r="H120" s="409" t="s">
        <v>1591</v>
      </c>
      <c r="I120" s="409" t="s">
        <v>1591</v>
      </c>
      <c r="J120" s="409" t="s">
        <v>1591</v>
      </c>
      <c r="K120" s="409" t="s">
        <v>1591</v>
      </c>
      <c r="L120" s="637"/>
      <c r="M120" s="4" t="s">
        <v>1591</v>
      </c>
      <c r="N120" s="4" t="s">
        <v>1591</v>
      </c>
      <c r="O120" s="4" t="s">
        <v>1591</v>
      </c>
      <c r="P120" s="4" t="s">
        <v>1591</v>
      </c>
      <c r="Q120" s="4" t="s">
        <v>1591</v>
      </c>
      <c r="R120" s="4" t="s">
        <v>1591</v>
      </c>
      <c r="T120" s="384" t="e">
        <f t="shared" si="18"/>
        <v>#VALUE!</v>
      </c>
      <c r="V120" s="3"/>
    </row>
    <row r="121" spans="2:22" s="4" customFormat="1" ht="21.75" customHeight="1">
      <c r="B121" s="406" t="s">
        <v>1632</v>
      </c>
      <c r="C121" s="409">
        <v>6020</v>
      </c>
      <c r="D121" s="409" t="s">
        <v>1591</v>
      </c>
      <c r="E121" s="409" t="s">
        <v>1591</v>
      </c>
      <c r="F121" s="409" t="s">
        <v>1591</v>
      </c>
      <c r="G121" s="409" t="s">
        <v>1591</v>
      </c>
      <c r="H121" s="409" t="s">
        <v>1591</v>
      </c>
      <c r="I121" s="409" t="s">
        <v>1591</v>
      </c>
      <c r="J121" s="409" t="s">
        <v>1591</v>
      </c>
      <c r="K121" s="409" t="s">
        <v>1591</v>
      </c>
      <c r="L121" s="637"/>
      <c r="M121" s="4" t="s">
        <v>1591</v>
      </c>
      <c r="N121" s="4" t="s">
        <v>1591</v>
      </c>
      <c r="O121" s="4" t="s">
        <v>1591</v>
      </c>
      <c r="P121" s="4" t="s">
        <v>1591</v>
      </c>
      <c r="Q121" s="4" t="s">
        <v>1591</v>
      </c>
      <c r="R121" s="4" t="s">
        <v>1591</v>
      </c>
      <c r="T121" s="384" t="e">
        <f t="shared" si="18"/>
        <v>#VALUE!</v>
      </c>
      <c r="V121" s="3"/>
    </row>
    <row r="122" spans="2:22" s="4" customFormat="1" ht="21.75" customHeight="1">
      <c r="B122" s="406" t="s">
        <v>1575</v>
      </c>
      <c r="C122" s="409">
        <v>6030</v>
      </c>
      <c r="D122" s="409" t="s">
        <v>1591</v>
      </c>
      <c r="E122" s="409" t="s">
        <v>1591</v>
      </c>
      <c r="F122" s="409" t="s">
        <v>1591</v>
      </c>
      <c r="G122" s="409" t="s">
        <v>1591</v>
      </c>
      <c r="H122" s="409" t="s">
        <v>1591</v>
      </c>
      <c r="I122" s="409" t="s">
        <v>1591</v>
      </c>
      <c r="J122" s="409" t="s">
        <v>1591</v>
      </c>
      <c r="K122" s="409" t="s">
        <v>1591</v>
      </c>
      <c r="L122" s="637"/>
      <c r="M122" s="4" t="s">
        <v>1591</v>
      </c>
      <c r="N122" s="4" t="s">
        <v>1591</v>
      </c>
      <c r="O122" s="4" t="s">
        <v>1591</v>
      </c>
      <c r="P122" s="4" t="s">
        <v>1591</v>
      </c>
      <c r="Q122" s="4" t="s">
        <v>1591</v>
      </c>
      <c r="R122" s="4" t="s">
        <v>1591</v>
      </c>
      <c r="T122" s="384" t="e">
        <f t="shared" si="18"/>
        <v>#VALUE!</v>
      </c>
      <c r="V122" s="3"/>
    </row>
    <row r="123" spans="2:22" s="4" customFormat="1" ht="21.75" customHeight="1">
      <c r="B123" s="406" t="s">
        <v>1576</v>
      </c>
      <c r="C123" s="409">
        <v>6040</v>
      </c>
      <c r="D123" s="409" t="s">
        <v>1591</v>
      </c>
      <c r="E123" s="409" t="s">
        <v>1591</v>
      </c>
      <c r="F123" s="409" t="s">
        <v>1591</v>
      </c>
      <c r="G123" s="409" t="s">
        <v>1591</v>
      </c>
      <c r="H123" s="409" t="s">
        <v>1591</v>
      </c>
      <c r="I123" s="409" t="s">
        <v>1591</v>
      </c>
      <c r="J123" s="409" t="s">
        <v>1591</v>
      </c>
      <c r="K123" s="409" t="s">
        <v>1591</v>
      </c>
      <c r="L123" s="637"/>
      <c r="M123" s="4" t="s">
        <v>1591</v>
      </c>
      <c r="N123" s="4" t="s">
        <v>1591</v>
      </c>
      <c r="O123" s="4" t="s">
        <v>1591</v>
      </c>
      <c r="P123" s="4" t="s">
        <v>1591</v>
      </c>
      <c r="Q123" s="4" t="s">
        <v>1591</v>
      </c>
      <c r="R123" s="4" t="s">
        <v>1591</v>
      </c>
      <c r="T123" s="384" t="e">
        <f t="shared" si="18"/>
        <v>#VALUE!</v>
      </c>
      <c r="V123" s="3"/>
    </row>
    <row r="124" spans="2:22" s="4" customFormat="1" ht="21.75" customHeight="1">
      <c r="B124" s="406" t="s">
        <v>1577</v>
      </c>
      <c r="C124" s="409">
        <v>6050</v>
      </c>
      <c r="D124" s="409" t="s">
        <v>1591</v>
      </c>
      <c r="E124" s="409" t="s">
        <v>1591</v>
      </c>
      <c r="F124" s="409" t="s">
        <v>1591</v>
      </c>
      <c r="G124" s="409" t="s">
        <v>1591</v>
      </c>
      <c r="H124" s="409" t="s">
        <v>1591</v>
      </c>
      <c r="I124" s="409" t="s">
        <v>1591</v>
      </c>
      <c r="J124" s="409" t="s">
        <v>1591</v>
      </c>
      <c r="K124" s="409" t="s">
        <v>1591</v>
      </c>
      <c r="L124" s="637"/>
      <c r="M124" s="4" t="s">
        <v>1591</v>
      </c>
      <c r="N124" s="4" t="s">
        <v>1591</v>
      </c>
      <c r="O124" s="4" t="s">
        <v>1591</v>
      </c>
      <c r="P124" s="4" t="s">
        <v>1591</v>
      </c>
      <c r="Q124" s="4" t="s">
        <v>1591</v>
      </c>
      <c r="R124" s="4" t="s">
        <v>1591</v>
      </c>
      <c r="T124" s="384" t="e">
        <f t="shared" si="18"/>
        <v>#VALUE!</v>
      </c>
      <c r="V124" s="3"/>
    </row>
    <row r="125" spans="2:22" s="4" customFormat="1" ht="21.75" customHeight="1">
      <c r="B125" s="938"/>
      <c r="C125" s="938"/>
      <c r="D125" s="938"/>
      <c r="E125" s="938"/>
      <c r="F125" s="938"/>
      <c r="G125" s="938"/>
      <c r="H125" s="938"/>
      <c r="I125" s="938"/>
      <c r="J125" s="938"/>
      <c r="K125" s="938"/>
      <c r="L125" s="637">
        <f t="shared" ref="L125:L140" si="19">G125-M125</f>
        <v>0</v>
      </c>
      <c r="T125" s="384">
        <f t="shared" si="18"/>
        <v>0</v>
      </c>
      <c r="V125" s="3"/>
    </row>
    <row r="126" spans="2:22" ht="21.75" customHeight="1">
      <c r="B126" s="944" t="s">
        <v>1578</v>
      </c>
      <c r="C126" s="944"/>
      <c r="D126" s="944"/>
      <c r="E126" s="944"/>
      <c r="F126" s="944"/>
      <c r="G126" s="944"/>
      <c r="H126" s="944"/>
      <c r="I126" s="944"/>
      <c r="J126" s="944"/>
      <c r="K126" s="944"/>
      <c r="L126" s="637">
        <f t="shared" si="19"/>
        <v>0</v>
      </c>
      <c r="T126" s="384">
        <f t="shared" si="18"/>
        <v>0</v>
      </c>
      <c r="V126" s="3"/>
    </row>
    <row r="127" spans="2:22" ht="50.1" customHeight="1">
      <c r="B127" s="406" t="s">
        <v>1579</v>
      </c>
      <c r="C127" s="437">
        <v>7010</v>
      </c>
      <c r="D127" s="423">
        <f>SUM(D128:D133)</f>
        <v>0</v>
      </c>
      <c r="E127" s="438">
        <f>SUM(E128:E133)</f>
        <v>241.25</v>
      </c>
      <c r="F127" s="421">
        <f>G127</f>
        <v>241.25</v>
      </c>
      <c r="G127" s="438">
        <f>SUM(G128:G133)</f>
        <v>241.25</v>
      </c>
      <c r="H127" s="438">
        <f>SUM(H128:H133)</f>
        <v>241.25</v>
      </c>
      <c r="I127" s="438">
        <f>SUM(I128:I133)</f>
        <v>241.25</v>
      </c>
      <c r="J127" s="438">
        <f>SUM(J128:J133)</f>
        <v>241.25</v>
      </c>
      <c r="K127" s="438">
        <f>SUM(K128:K133)</f>
        <v>241.25</v>
      </c>
      <c r="L127" s="637">
        <f t="shared" si="19"/>
        <v>0</v>
      </c>
      <c r="M127" s="2">
        <v>241.25</v>
      </c>
      <c r="N127" s="2">
        <v>241.25</v>
      </c>
      <c r="O127" s="2">
        <v>241.25</v>
      </c>
      <c r="P127" s="2">
        <v>241.25</v>
      </c>
      <c r="Q127" s="2">
        <v>241.25</v>
      </c>
      <c r="R127" s="2">
        <v>241.25</v>
      </c>
      <c r="T127" s="384">
        <f t="shared" si="18"/>
        <v>0</v>
      </c>
      <c r="V127" s="3"/>
    </row>
    <row r="128" spans="2:22" ht="21.75" customHeight="1">
      <c r="B128" s="436" t="s">
        <v>1614</v>
      </c>
      <c r="C128" s="437">
        <v>7011</v>
      </c>
      <c r="D128" s="422"/>
      <c r="E128" s="421">
        <v>4</v>
      </c>
      <c r="F128" s="421">
        <f t="shared" ref="F128:F140" si="20">G128</f>
        <v>3</v>
      </c>
      <c r="G128" s="438">
        <f ca="1">ФОП!A4</f>
        <v>3</v>
      </c>
      <c r="H128" s="438">
        <f t="shared" ref="H128:H133" si="21">G128</f>
        <v>3</v>
      </c>
      <c r="I128" s="438">
        <f t="shared" ref="I128:K133" si="22">H128</f>
        <v>3</v>
      </c>
      <c r="J128" s="438">
        <f t="shared" si="22"/>
        <v>3</v>
      </c>
      <c r="K128" s="438">
        <f t="shared" si="22"/>
        <v>3</v>
      </c>
      <c r="L128" s="637">
        <f t="shared" si="19"/>
        <v>-1</v>
      </c>
      <c r="M128" s="2">
        <v>4</v>
      </c>
      <c r="N128" s="2">
        <v>4</v>
      </c>
      <c r="O128" s="2">
        <v>4</v>
      </c>
      <c r="P128" s="2">
        <v>4</v>
      </c>
      <c r="Q128" s="2">
        <v>4</v>
      </c>
      <c r="R128" s="2">
        <v>4</v>
      </c>
      <c r="T128" s="384">
        <f t="shared" si="18"/>
        <v>-1</v>
      </c>
      <c r="V128" s="3"/>
    </row>
    <row r="129" spans="2:22" ht="21.75" customHeight="1">
      <c r="B129" s="436" t="s">
        <v>1500</v>
      </c>
      <c r="C129" s="437">
        <v>7012</v>
      </c>
      <c r="D129" s="422"/>
      <c r="E129" s="421">
        <v>40.75</v>
      </c>
      <c r="F129" s="421">
        <f t="shared" si="20"/>
        <v>41.25</v>
      </c>
      <c r="G129" s="438">
        <f ca="1">ФОП!A13</f>
        <v>41.25</v>
      </c>
      <c r="H129" s="438">
        <f t="shared" si="21"/>
        <v>41.25</v>
      </c>
      <c r="I129" s="438">
        <f t="shared" si="22"/>
        <v>41.25</v>
      </c>
      <c r="J129" s="438">
        <f t="shared" si="22"/>
        <v>41.25</v>
      </c>
      <c r="K129" s="438">
        <f t="shared" si="22"/>
        <v>41.25</v>
      </c>
      <c r="L129" s="637">
        <f t="shared" si="19"/>
        <v>0.5</v>
      </c>
      <c r="M129" s="2">
        <v>40.75</v>
      </c>
      <c r="N129" s="2">
        <v>40.75</v>
      </c>
      <c r="O129" s="2">
        <v>40.75</v>
      </c>
      <c r="P129" s="2">
        <v>40.75</v>
      </c>
      <c r="Q129" s="2">
        <v>40.75</v>
      </c>
      <c r="R129" s="2">
        <v>40.75</v>
      </c>
      <c r="T129" s="384">
        <f t="shared" si="18"/>
        <v>0.5</v>
      </c>
      <c r="V129" s="3"/>
    </row>
    <row r="130" spans="2:22" ht="21.75" customHeight="1">
      <c r="B130" s="436" t="s">
        <v>1581</v>
      </c>
      <c r="C130" s="437">
        <v>7013</v>
      </c>
      <c r="D130" s="422"/>
      <c r="E130" s="421">
        <v>98</v>
      </c>
      <c r="F130" s="421">
        <f t="shared" si="20"/>
        <v>97.5</v>
      </c>
      <c r="G130" s="438">
        <f ca="1">ФОП!A17</f>
        <v>97.5</v>
      </c>
      <c r="H130" s="438">
        <f t="shared" si="21"/>
        <v>97.5</v>
      </c>
      <c r="I130" s="438">
        <f t="shared" si="22"/>
        <v>97.5</v>
      </c>
      <c r="J130" s="438">
        <f t="shared" si="22"/>
        <v>97.5</v>
      </c>
      <c r="K130" s="438">
        <f t="shared" si="22"/>
        <v>97.5</v>
      </c>
      <c r="L130" s="637">
        <f t="shared" si="19"/>
        <v>-0.5</v>
      </c>
      <c r="M130" s="2">
        <v>98</v>
      </c>
      <c r="N130" s="2">
        <v>98</v>
      </c>
      <c r="O130" s="2">
        <v>98</v>
      </c>
      <c r="P130" s="2">
        <v>98</v>
      </c>
      <c r="Q130" s="2">
        <v>98</v>
      </c>
      <c r="R130" s="2">
        <v>98</v>
      </c>
      <c r="T130" s="384">
        <f t="shared" si="18"/>
        <v>-0.5</v>
      </c>
      <c r="V130" s="3"/>
    </row>
    <row r="131" spans="2:22" ht="21.75" customHeight="1">
      <c r="B131" s="436" t="s">
        <v>1582</v>
      </c>
      <c r="C131" s="437">
        <v>7014</v>
      </c>
      <c r="D131" s="422"/>
      <c r="E131" s="421">
        <v>43</v>
      </c>
      <c r="F131" s="421">
        <f t="shared" si="20"/>
        <v>43</v>
      </c>
      <c r="G131" s="438">
        <f ca="1">ФОП!A21</f>
        <v>43</v>
      </c>
      <c r="H131" s="438">
        <f t="shared" si="21"/>
        <v>43</v>
      </c>
      <c r="I131" s="438">
        <f t="shared" si="22"/>
        <v>43</v>
      </c>
      <c r="J131" s="438">
        <f t="shared" si="22"/>
        <v>43</v>
      </c>
      <c r="K131" s="438">
        <f t="shared" si="22"/>
        <v>43</v>
      </c>
      <c r="L131" s="637">
        <f t="shared" si="19"/>
        <v>0</v>
      </c>
      <c r="M131" s="2">
        <v>43</v>
      </c>
      <c r="N131" s="2">
        <v>43</v>
      </c>
      <c r="O131" s="2">
        <v>43</v>
      </c>
      <c r="P131" s="2">
        <v>43</v>
      </c>
      <c r="Q131" s="2">
        <v>43</v>
      </c>
      <c r="R131" s="2">
        <v>43</v>
      </c>
      <c r="T131" s="384">
        <f t="shared" si="18"/>
        <v>0</v>
      </c>
      <c r="V131" s="3"/>
    </row>
    <row r="132" spans="2:22" ht="21.75" customHeight="1">
      <c r="B132" s="436" t="s">
        <v>1580</v>
      </c>
      <c r="C132" s="437">
        <v>7015</v>
      </c>
      <c r="D132" s="422"/>
      <c r="E132" s="421">
        <v>13</v>
      </c>
      <c r="F132" s="421">
        <f t="shared" si="20"/>
        <v>13</v>
      </c>
      <c r="G132" s="438">
        <f ca="1">ФОП!A8</f>
        <v>13</v>
      </c>
      <c r="H132" s="438">
        <f t="shared" si="21"/>
        <v>13</v>
      </c>
      <c r="I132" s="438">
        <f t="shared" si="22"/>
        <v>13</v>
      </c>
      <c r="J132" s="438">
        <f t="shared" si="22"/>
        <v>13</v>
      </c>
      <c r="K132" s="438">
        <f t="shared" si="22"/>
        <v>13</v>
      </c>
      <c r="L132" s="637">
        <f t="shared" si="19"/>
        <v>0</v>
      </c>
      <c r="M132" s="2">
        <v>13</v>
      </c>
      <c r="N132" s="2">
        <v>13</v>
      </c>
      <c r="O132" s="2">
        <v>13</v>
      </c>
      <c r="P132" s="2">
        <v>13</v>
      </c>
      <c r="Q132" s="2">
        <v>13</v>
      </c>
      <c r="R132" s="2">
        <v>13</v>
      </c>
      <c r="T132" s="384">
        <f t="shared" si="18"/>
        <v>0</v>
      </c>
      <c r="V132" s="3"/>
    </row>
    <row r="133" spans="2:22" ht="21.75" customHeight="1">
      <c r="B133" s="436" t="s">
        <v>1627</v>
      </c>
      <c r="C133" s="437">
        <v>7016</v>
      </c>
      <c r="D133" s="422"/>
      <c r="E133" s="421">
        <v>42.5</v>
      </c>
      <c r="F133" s="421">
        <f t="shared" si="20"/>
        <v>43.5</v>
      </c>
      <c r="G133" s="438">
        <f ca="1">ФОП!A25</f>
        <v>43.5</v>
      </c>
      <c r="H133" s="438">
        <f t="shared" si="21"/>
        <v>43.5</v>
      </c>
      <c r="I133" s="438">
        <f t="shared" si="22"/>
        <v>43.5</v>
      </c>
      <c r="J133" s="438">
        <f t="shared" si="22"/>
        <v>43.5</v>
      </c>
      <c r="K133" s="438">
        <f t="shared" si="22"/>
        <v>43.5</v>
      </c>
      <c r="L133" s="637">
        <f t="shared" si="19"/>
        <v>1</v>
      </c>
      <c r="M133" s="2">
        <v>42.5</v>
      </c>
      <c r="N133" s="2">
        <v>42.5</v>
      </c>
      <c r="O133" s="2">
        <v>42.5</v>
      </c>
      <c r="P133" s="2">
        <v>42.5</v>
      </c>
      <c r="Q133" s="2">
        <v>42.5</v>
      </c>
      <c r="R133" s="2">
        <v>42.5</v>
      </c>
      <c r="T133" s="384">
        <f t="shared" si="18"/>
        <v>1</v>
      </c>
      <c r="V133" s="3"/>
    </row>
    <row r="134" spans="2:22" s="3" customFormat="1" ht="21.75" customHeight="1">
      <c r="B134" s="5" t="s">
        <v>1583</v>
      </c>
      <c r="C134" s="439">
        <v>7020</v>
      </c>
      <c r="D134" s="417"/>
      <c r="E134" s="417">
        <f>SUM(E135:E140)</f>
        <v>26964952</v>
      </c>
      <c r="F134" s="416">
        <f t="shared" si="20"/>
        <v>29767493.396350004</v>
      </c>
      <c r="G134" s="417">
        <f ca="1">SUM(G135:G140)</f>
        <v>29767493.396350004</v>
      </c>
      <c r="H134" s="417">
        <f ca="1">SUM(H135:H140)</f>
        <v>8265774.6947500007</v>
      </c>
      <c r="I134" s="417">
        <f ca="1">SUM(I135:I140)</f>
        <v>7456374.8806499997</v>
      </c>
      <c r="J134" s="417">
        <f ca="1">SUM(J135:J140)</f>
        <v>6421796.9402999999</v>
      </c>
      <c r="K134" s="417">
        <f ca="1">SUM(K135:K140)</f>
        <v>7623546.8806499997</v>
      </c>
      <c r="L134" s="637">
        <f t="shared" si="19"/>
        <v>-7366423.2704709545</v>
      </c>
      <c r="M134" s="3">
        <v>37133916.666820958</v>
      </c>
      <c r="N134" s="3">
        <v>37133916.666820958</v>
      </c>
      <c r="O134" s="3">
        <v>9389450.8988460358</v>
      </c>
      <c r="P134" s="3">
        <v>9194734.7773368061</v>
      </c>
      <c r="Q134" s="3">
        <v>9168080.637135379</v>
      </c>
      <c r="R134" s="3">
        <v>9381650.3535027392</v>
      </c>
      <c r="T134" s="384">
        <f t="shared" si="18"/>
        <v>-1123676.2040960351</v>
      </c>
    </row>
    <row r="135" spans="2:22" ht="21.75" customHeight="1">
      <c r="B135" s="436" t="s">
        <v>1614</v>
      </c>
      <c r="C135" s="437">
        <v>7021</v>
      </c>
      <c r="D135" s="422"/>
      <c r="E135" s="422">
        <v>842370</v>
      </c>
      <c r="F135" s="422">
        <f t="shared" si="20"/>
        <v>733647.38660000009</v>
      </c>
      <c r="G135" s="423">
        <f ca="1">ФОП!S7</f>
        <v>733647.38660000009</v>
      </c>
      <c r="H135" s="423">
        <f ca="1">ФОП!O7</f>
        <v>185792.12050000002</v>
      </c>
      <c r="I135" s="423">
        <f ca="1">ФОП!P7</f>
        <v>183411.84665000002</v>
      </c>
      <c r="J135" s="423">
        <f ca="1">ФОП!Q7</f>
        <v>181031.57280000002</v>
      </c>
      <c r="K135" s="423">
        <f ca="1">ФОП!R7</f>
        <v>183411.84665000002</v>
      </c>
      <c r="L135" s="637">
        <f t="shared" si="19"/>
        <v>-205487.73381749995</v>
      </c>
      <c r="M135" s="2">
        <v>939135.12041750003</v>
      </c>
      <c r="N135" s="2">
        <v>939135.12041750003</v>
      </c>
      <c r="O135" s="2">
        <v>234783.78010437501</v>
      </c>
      <c r="P135" s="2">
        <v>234783.78010437501</v>
      </c>
      <c r="Q135" s="2">
        <v>234783.78010437501</v>
      </c>
      <c r="R135" s="2">
        <v>234783.78010437501</v>
      </c>
      <c r="T135" s="384">
        <f t="shared" ref="T135:T154" si="23">H135-O135</f>
        <v>-48991.659604374989</v>
      </c>
      <c r="V135" s="3"/>
    </row>
    <row r="136" spans="2:22" ht="21.75" customHeight="1">
      <c r="B136" s="436" t="s">
        <v>1500</v>
      </c>
      <c r="C136" s="437">
        <v>7022</v>
      </c>
      <c r="D136" s="422"/>
      <c r="E136" s="422">
        <v>6150404</v>
      </c>
      <c r="F136" s="422">
        <f t="shared" si="20"/>
        <v>6301505.9237500001</v>
      </c>
      <c r="G136" s="423">
        <f ca="1">ФОП!S16</f>
        <v>6301505.9237500001</v>
      </c>
      <c r="H136" s="423">
        <f ca="1">ФОП!O16</f>
        <v>1990017.2912500002</v>
      </c>
      <c r="I136" s="423">
        <f ca="1">ФОП!P16</f>
        <v>1576853.895</v>
      </c>
      <c r="J136" s="423">
        <f ca="1">ФОП!Q16</f>
        <v>1157780.8425</v>
      </c>
      <c r="K136" s="423">
        <f ca="1">ФОП!R16</f>
        <v>1576853.895</v>
      </c>
      <c r="L136" s="637">
        <f t="shared" si="19"/>
        <v>-3731900.6762499996</v>
      </c>
      <c r="M136" s="2">
        <v>10033406.6</v>
      </c>
      <c r="N136" s="2">
        <v>10033406.6</v>
      </c>
      <c r="O136" s="2">
        <v>2508351.65</v>
      </c>
      <c r="P136" s="2">
        <v>2508351.65</v>
      </c>
      <c r="Q136" s="2">
        <v>2508351.65</v>
      </c>
      <c r="R136" s="2">
        <v>2508351.65</v>
      </c>
      <c r="T136" s="384">
        <f t="shared" si="23"/>
        <v>-518334.35874999966</v>
      </c>
      <c r="V136" s="3"/>
    </row>
    <row r="137" spans="2:22" ht="21.75" customHeight="1">
      <c r="B137" s="436" t="s">
        <v>1581</v>
      </c>
      <c r="C137" s="437">
        <v>7023</v>
      </c>
      <c r="D137" s="422"/>
      <c r="E137" s="422">
        <v>10992109</v>
      </c>
      <c r="F137" s="422">
        <f t="shared" si="20"/>
        <v>11560434.670000002</v>
      </c>
      <c r="G137" s="423">
        <f ca="1">ФОП!S20</f>
        <v>11560434.670000002</v>
      </c>
      <c r="H137" s="423">
        <f ca="1">ФОП!O20</f>
        <v>3374283.1924999999</v>
      </c>
      <c r="I137" s="423">
        <f ca="1">ФОП!P20</f>
        <v>2903007.5650000004</v>
      </c>
      <c r="J137" s="423">
        <f ca="1">ФОП!Q20</f>
        <v>2380136.3475000001</v>
      </c>
      <c r="K137" s="423">
        <f ca="1">ФОП!R20</f>
        <v>2903007.5650000004</v>
      </c>
      <c r="L137" s="637">
        <f t="shared" si="19"/>
        <v>-4830696.4049999975</v>
      </c>
      <c r="M137" s="2">
        <v>16391131.074999999</v>
      </c>
      <c r="N137" s="2">
        <v>16391131.074999999</v>
      </c>
      <c r="O137" s="2">
        <v>4097782.7687499998</v>
      </c>
      <c r="P137" s="2">
        <v>4097782.7687499998</v>
      </c>
      <c r="Q137" s="2">
        <v>4097782.7687499998</v>
      </c>
      <c r="R137" s="2">
        <v>4097782.7687499998</v>
      </c>
      <c r="T137" s="384">
        <f t="shared" si="23"/>
        <v>-723499.57624999993</v>
      </c>
      <c r="V137" s="3"/>
    </row>
    <row r="138" spans="2:22" ht="21.75" customHeight="1">
      <c r="B138" s="436" t="s">
        <v>1582</v>
      </c>
      <c r="C138" s="437">
        <v>7024</v>
      </c>
      <c r="D138" s="422"/>
      <c r="E138" s="422">
        <v>3940211</v>
      </c>
      <c r="F138" s="422">
        <f t="shared" si="20"/>
        <v>4503943.2</v>
      </c>
      <c r="G138" s="423">
        <f ca="1">ФОП!S24</f>
        <v>4503943.2</v>
      </c>
      <c r="H138" s="423">
        <f ca="1">ФОП!O24</f>
        <v>1036885.8</v>
      </c>
      <c r="I138" s="423">
        <f ca="1">ФОП!P24</f>
        <v>1155685.8</v>
      </c>
      <c r="J138" s="423">
        <f ca="1">ФОП!Q24</f>
        <v>1155685.8</v>
      </c>
      <c r="K138" s="423">
        <f ca="1">ФОП!R24</f>
        <v>1155685.8</v>
      </c>
      <c r="L138" s="637">
        <f t="shared" si="19"/>
        <v>449010.15667080507</v>
      </c>
      <c r="M138" s="2">
        <v>4054933.0433291951</v>
      </c>
      <c r="N138" s="2">
        <v>4054933.0433291951</v>
      </c>
      <c r="O138" s="2">
        <v>1013308.9931266848</v>
      </c>
      <c r="P138" s="2">
        <v>1026643.8119066504</v>
      </c>
      <c r="Q138" s="2">
        <v>1007239.0723122531</v>
      </c>
      <c r="R138" s="2">
        <v>1007741.1659836067</v>
      </c>
      <c r="T138" s="384">
        <f t="shared" si="23"/>
        <v>23576.806873315247</v>
      </c>
      <c r="V138" s="3"/>
    </row>
    <row r="139" spans="2:22" ht="21.75" customHeight="1">
      <c r="B139" s="436" t="s">
        <v>1580</v>
      </c>
      <c r="C139" s="437">
        <v>7025</v>
      </c>
      <c r="D139" s="421"/>
      <c r="E139" s="422">
        <v>1916536</v>
      </c>
      <c r="F139" s="422">
        <f t="shared" si="20"/>
        <v>2270371.8959999997</v>
      </c>
      <c r="G139" s="423">
        <f ca="1">ФОП!S12</f>
        <v>2270371.8959999997</v>
      </c>
      <c r="H139" s="423">
        <f ca="1">ФОП!O12</f>
        <v>616053.37049999996</v>
      </c>
      <c r="I139" s="423">
        <f ca="1">ФОП!P12</f>
        <v>567592.97399999993</v>
      </c>
      <c r="J139" s="423">
        <f ca="1">ФОП!Q12</f>
        <v>519132.57750000001</v>
      </c>
      <c r="K139" s="423">
        <f ca="1">ФОП!R12</f>
        <v>567592.97399999993</v>
      </c>
      <c r="L139" s="637">
        <f t="shared" si="19"/>
        <v>-212042.45787500031</v>
      </c>
      <c r="M139" s="2">
        <v>2482414.353875</v>
      </c>
      <c r="N139" s="2">
        <v>2482414.353875</v>
      </c>
      <c r="O139" s="2">
        <v>620603.58846875001</v>
      </c>
      <c r="P139" s="2">
        <v>620603.58846875001</v>
      </c>
      <c r="Q139" s="2">
        <v>620603.58846875001</v>
      </c>
      <c r="R139" s="2">
        <v>620603.58846875001</v>
      </c>
      <c r="T139" s="384">
        <f t="shared" si="23"/>
        <v>-4550.2179687500466</v>
      </c>
      <c r="V139" s="3"/>
    </row>
    <row r="140" spans="2:22" ht="21.75" customHeight="1">
      <c r="B140" s="436" t="s">
        <v>1627</v>
      </c>
      <c r="C140" s="437">
        <v>7026</v>
      </c>
      <c r="D140" s="422"/>
      <c r="E140" s="422">
        <v>3123322</v>
      </c>
      <c r="F140" s="422">
        <f t="shared" si="20"/>
        <v>4397590.3199999994</v>
      </c>
      <c r="G140" s="423">
        <f ca="1">ФОП!S29</f>
        <v>4397590.3199999994</v>
      </c>
      <c r="H140" s="423">
        <f ca="1">ФОП!O29</f>
        <v>1062742.92</v>
      </c>
      <c r="I140" s="423">
        <f ca="1">ФОП!P29</f>
        <v>1069822.7999999998</v>
      </c>
      <c r="J140" s="423">
        <f ca="1">ФОП!Q29</f>
        <v>1028029.7999999999</v>
      </c>
      <c r="K140" s="423">
        <f ca="1">ФОП!R29</f>
        <v>1236994.7999999998</v>
      </c>
      <c r="L140" s="637">
        <f t="shared" si="19"/>
        <v>1164693.8458007332</v>
      </c>
      <c r="M140" s="2">
        <v>3232896.4741992662</v>
      </c>
      <c r="N140" s="2">
        <v>3232896.4741992662</v>
      </c>
      <c r="O140" s="2">
        <v>914620.11839622643</v>
      </c>
      <c r="P140" s="2">
        <v>706569.17810703104</v>
      </c>
      <c r="Q140" s="2">
        <v>699319.77750000008</v>
      </c>
      <c r="R140" s="2">
        <v>912387.40019600862</v>
      </c>
      <c r="T140" s="384">
        <f t="shared" si="23"/>
        <v>148122.80160377349</v>
      </c>
      <c r="V140" s="3"/>
    </row>
    <row r="141" spans="2:22" ht="21.75" customHeight="1">
      <c r="B141" s="406" t="s">
        <v>1584</v>
      </c>
      <c r="C141" s="437">
        <v>7030</v>
      </c>
      <c r="D141" s="423" t="s">
        <v>1591</v>
      </c>
      <c r="E141" s="438" t="s">
        <v>1591</v>
      </c>
      <c r="F141" s="438" t="s">
        <v>1591</v>
      </c>
      <c r="G141" s="438" t="s">
        <v>1591</v>
      </c>
      <c r="H141" s="438" t="s">
        <v>1591</v>
      </c>
      <c r="I141" s="438" t="s">
        <v>1591</v>
      </c>
      <c r="J141" s="438" t="s">
        <v>1591</v>
      </c>
      <c r="K141" s="438" t="s">
        <v>1591</v>
      </c>
      <c r="L141" s="637"/>
      <c r="M141" s="2" t="s">
        <v>1591</v>
      </c>
      <c r="N141" s="2" t="s">
        <v>1591</v>
      </c>
      <c r="O141" s="2" t="s">
        <v>1591</v>
      </c>
      <c r="P141" s="2" t="s">
        <v>1591</v>
      </c>
      <c r="Q141" s="2" t="s">
        <v>1591</v>
      </c>
      <c r="R141" s="2" t="s">
        <v>1591</v>
      </c>
      <c r="T141" s="384" t="e">
        <f t="shared" si="23"/>
        <v>#VALUE!</v>
      </c>
      <c r="V141" s="3"/>
    </row>
    <row r="142" spans="2:22" ht="21.75" customHeight="1">
      <c r="B142" s="436" t="s">
        <v>1614</v>
      </c>
      <c r="C142" s="437">
        <v>7031</v>
      </c>
      <c r="D142" s="423" t="e">
        <f t="shared" ref="D142:D147" si="24">D135/12/D128</f>
        <v>#DIV/0!</v>
      </c>
      <c r="E142" s="423">
        <v>17549</v>
      </c>
      <c r="F142" s="423">
        <f>G142</f>
        <v>20379.094072222226</v>
      </c>
      <c r="G142" s="423">
        <f t="shared" ref="G142:G147" si="25">G135/12/G128</f>
        <v>20379.094072222226</v>
      </c>
      <c r="H142" s="423">
        <f t="shared" ref="H142:H147" si="26">H135/3/H128</f>
        <v>20643.568944444447</v>
      </c>
      <c r="I142" s="423">
        <f t="shared" ref="I142:K144" si="27">I135/3/I128</f>
        <v>20379.094072222226</v>
      </c>
      <c r="J142" s="423">
        <f t="shared" si="27"/>
        <v>20114.619200000005</v>
      </c>
      <c r="K142" s="423">
        <f t="shared" si="27"/>
        <v>20379.094072222226</v>
      </c>
      <c r="L142" s="637"/>
      <c r="M142" s="2">
        <v>19565.315008697919</v>
      </c>
      <c r="N142" s="2">
        <v>19565.315008697919</v>
      </c>
      <c r="O142" s="2">
        <v>19565.315008697919</v>
      </c>
      <c r="P142" s="2">
        <v>19565.315008697919</v>
      </c>
      <c r="Q142" s="2">
        <v>19565.315008697919</v>
      </c>
      <c r="R142" s="2">
        <v>19565.315008697919</v>
      </c>
      <c r="T142" s="384">
        <f t="shared" si="23"/>
        <v>1078.2539357465284</v>
      </c>
      <c r="V142" s="3"/>
    </row>
    <row r="143" spans="2:22" ht="21.75" customHeight="1">
      <c r="B143" s="436" t="s">
        <v>1500</v>
      </c>
      <c r="C143" s="437">
        <v>7032</v>
      </c>
      <c r="D143" s="423" t="e">
        <f t="shared" si="24"/>
        <v>#DIV/0!</v>
      </c>
      <c r="E143" s="423">
        <v>12578</v>
      </c>
      <c r="F143" s="423">
        <f t="shared" ref="F143:F154" si="28">G143</f>
        <v>12730.314997474748</v>
      </c>
      <c r="G143" s="423">
        <f t="shared" si="25"/>
        <v>12730.314997474748</v>
      </c>
      <c r="H143" s="423">
        <f t="shared" si="26"/>
        <v>16080.947808080809</v>
      </c>
      <c r="I143" s="423">
        <f t="shared" si="27"/>
        <v>12742.253696969696</v>
      </c>
      <c r="J143" s="423">
        <f t="shared" si="27"/>
        <v>9355.8047878787875</v>
      </c>
      <c r="K143" s="423">
        <f t="shared" si="27"/>
        <v>12742.253696969696</v>
      </c>
      <c r="L143" s="637"/>
      <c r="M143" s="2">
        <v>20518.213905930472</v>
      </c>
      <c r="N143" s="2">
        <v>20518.213905930472</v>
      </c>
      <c r="O143" s="2">
        <v>20518.213905930472</v>
      </c>
      <c r="P143" s="2">
        <v>20518.213905930472</v>
      </c>
      <c r="Q143" s="2">
        <v>20518.213905930472</v>
      </c>
      <c r="R143" s="2">
        <v>20518.213905930472</v>
      </c>
      <c r="T143" s="384">
        <f t="shared" si="23"/>
        <v>-4437.2660978496624</v>
      </c>
      <c r="V143" s="3"/>
    </row>
    <row r="144" spans="2:22" ht="21.75" customHeight="1">
      <c r="B144" s="436" t="s">
        <v>1581</v>
      </c>
      <c r="C144" s="437">
        <v>7033</v>
      </c>
      <c r="D144" s="423" t="e">
        <f t="shared" si="24"/>
        <v>#DIV/0!</v>
      </c>
      <c r="E144" s="423">
        <v>9347</v>
      </c>
      <c r="F144" s="423">
        <f t="shared" si="28"/>
        <v>9880.7133931623957</v>
      </c>
      <c r="G144" s="423">
        <f t="shared" si="25"/>
        <v>9880.7133931623957</v>
      </c>
      <c r="H144" s="423">
        <f t="shared" si="26"/>
        <v>11536.010914529916</v>
      </c>
      <c r="I144" s="423">
        <f t="shared" si="27"/>
        <v>9924.8121880341896</v>
      </c>
      <c r="J144" s="423">
        <f>J137/3/J130</f>
        <v>8137.2182820512826</v>
      </c>
      <c r="K144" s="423">
        <f t="shared" si="27"/>
        <v>9924.8121880341896</v>
      </c>
      <c r="L144" s="637"/>
      <c r="M144" s="2">
        <v>13938.03662840136</v>
      </c>
      <c r="N144" s="2">
        <v>13938.03662840136</v>
      </c>
      <c r="O144" s="2">
        <v>13938.03662840136</v>
      </c>
      <c r="P144" s="2">
        <v>13938.03662840136</v>
      </c>
      <c r="Q144" s="2">
        <v>13938.03662840136</v>
      </c>
      <c r="R144" s="2">
        <v>13938.03662840136</v>
      </c>
      <c r="T144" s="384">
        <f t="shared" si="23"/>
        <v>-2402.0257138714442</v>
      </c>
      <c r="V144" s="3"/>
    </row>
    <row r="145" spans="2:22" ht="21.75" customHeight="1">
      <c r="B145" s="436" t="s">
        <v>1582</v>
      </c>
      <c r="C145" s="437">
        <v>7034</v>
      </c>
      <c r="D145" s="423" t="e">
        <f t="shared" si="24"/>
        <v>#DIV/0!</v>
      </c>
      <c r="E145" s="423">
        <v>7636</v>
      </c>
      <c r="F145" s="423">
        <f t="shared" si="28"/>
        <v>8728.5720930232565</v>
      </c>
      <c r="G145" s="423">
        <f t="shared" si="25"/>
        <v>8728.5720930232565</v>
      </c>
      <c r="H145" s="423">
        <f t="shared" si="26"/>
        <v>8037.8744186046524</v>
      </c>
      <c r="I145" s="423">
        <f t="shared" ref="I145:K147" si="29">I138/3/I131</f>
        <v>8958.8046511627908</v>
      </c>
      <c r="J145" s="423">
        <f t="shared" si="29"/>
        <v>8958.8046511627908</v>
      </c>
      <c r="K145" s="423">
        <f t="shared" si="29"/>
        <v>8958.8046511627908</v>
      </c>
      <c r="L145" s="637"/>
      <c r="M145" s="2">
        <v>7858.3973707930136</v>
      </c>
      <c r="N145" s="2">
        <v>7858.3973707930136</v>
      </c>
      <c r="O145" s="2">
        <v>7855.1084738502695</v>
      </c>
      <c r="P145" s="2">
        <v>7958.4791620670576</v>
      </c>
      <c r="Q145" s="2">
        <v>7808.0548241259921</v>
      </c>
      <c r="R145" s="2">
        <v>7811.9470231287351</v>
      </c>
      <c r="T145" s="384">
        <f t="shared" si="23"/>
        <v>182.76594475438287</v>
      </c>
      <c r="V145" s="3"/>
    </row>
    <row r="146" spans="2:22" ht="21.75" customHeight="1">
      <c r="B146" s="436" t="s">
        <v>1580</v>
      </c>
      <c r="C146" s="437">
        <v>7035</v>
      </c>
      <c r="D146" s="423" t="e">
        <f t="shared" si="24"/>
        <v>#DIV/0!</v>
      </c>
      <c r="E146" s="423">
        <v>12285</v>
      </c>
      <c r="F146" s="423">
        <f t="shared" si="28"/>
        <v>14553.665999999997</v>
      </c>
      <c r="G146" s="423">
        <f t="shared" si="25"/>
        <v>14553.665999999997</v>
      </c>
      <c r="H146" s="423">
        <f t="shared" si="26"/>
        <v>15796.240269230768</v>
      </c>
      <c r="I146" s="423">
        <f t="shared" si="29"/>
        <v>14553.665999999997</v>
      </c>
      <c r="J146" s="423">
        <f t="shared" si="29"/>
        <v>13311.091730769231</v>
      </c>
      <c r="K146" s="423">
        <f t="shared" si="29"/>
        <v>14553.665999999997</v>
      </c>
      <c r="L146" s="637"/>
      <c r="M146" s="2">
        <v>15912.912524839745</v>
      </c>
      <c r="N146" s="2">
        <v>15912.912524839745</v>
      </c>
      <c r="O146" s="2">
        <v>15912.912524839745</v>
      </c>
      <c r="P146" s="2">
        <v>15912.912524839745</v>
      </c>
      <c r="Q146" s="2">
        <v>15912.912524839745</v>
      </c>
      <c r="R146" s="2">
        <v>15912.912524839745</v>
      </c>
      <c r="T146" s="384">
        <f t="shared" si="23"/>
        <v>-116.67225560897714</v>
      </c>
      <c r="V146" s="3"/>
    </row>
    <row r="147" spans="2:22" ht="21.75" customHeight="1">
      <c r="B147" s="436" t="s">
        <v>1627</v>
      </c>
      <c r="C147" s="437">
        <v>7036</v>
      </c>
      <c r="D147" s="423" t="e">
        <f t="shared" si="24"/>
        <v>#DIV/0!</v>
      </c>
      <c r="E147" s="423">
        <v>6124</v>
      </c>
      <c r="F147" s="423">
        <f t="shared" si="28"/>
        <v>8424.5025287356311</v>
      </c>
      <c r="G147" s="423">
        <f t="shared" si="25"/>
        <v>8424.5025287356311</v>
      </c>
      <c r="H147" s="423">
        <f t="shared" si="26"/>
        <v>8143.6239080459763</v>
      </c>
      <c r="I147" s="423">
        <f t="shared" si="29"/>
        <v>8197.8758620689641</v>
      </c>
      <c r="J147" s="423">
        <f t="shared" si="29"/>
        <v>7877.6229885057464</v>
      </c>
      <c r="K147" s="423">
        <f t="shared" si="29"/>
        <v>9478.8873563218367</v>
      </c>
      <c r="L147" s="637"/>
      <c r="M147" s="2">
        <v>6339.0126945083648</v>
      </c>
      <c r="N147" s="2">
        <v>6339.0126945083648</v>
      </c>
      <c r="O147" s="2">
        <v>7173.4911246762858</v>
      </c>
      <c r="P147" s="2">
        <v>5541.7190439767146</v>
      </c>
      <c r="Q147" s="2">
        <v>5484.8610000000008</v>
      </c>
      <c r="R147" s="2">
        <v>7155.9796093804598</v>
      </c>
      <c r="T147" s="384">
        <f t="shared" si="23"/>
        <v>970.13278336969051</v>
      </c>
      <c r="V147" s="3"/>
    </row>
    <row r="148" spans="2:22" ht="21.75" customHeight="1">
      <c r="B148" s="406" t="s">
        <v>1585</v>
      </c>
      <c r="C148" s="437">
        <v>7040</v>
      </c>
      <c r="D148" s="422">
        <v>0</v>
      </c>
      <c r="E148" s="438">
        <v>0</v>
      </c>
      <c r="F148" s="438">
        <f t="shared" si="28"/>
        <v>0</v>
      </c>
      <c r="G148" s="438">
        <f>SUM(G149:G154)</f>
        <v>0</v>
      </c>
      <c r="H148" s="438" t="s">
        <v>1591</v>
      </c>
      <c r="I148" s="438" t="s">
        <v>1591</v>
      </c>
      <c r="J148" s="438" t="s">
        <v>1591</v>
      </c>
      <c r="K148" s="438" t="s">
        <v>1591</v>
      </c>
      <c r="L148" s="637"/>
      <c r="M148" s="2">
        <v>0</v>
      </c>
      <c r="N148" s="2">
        <v>0</v>
      </c>
      <c r="O148" s="2" t="s">
        <v>1591</v>
      </c>
      <c r="P148" s="2" t="s">
        <v>1591</v>
      </c>
      <c r="Q148" s="2" t="s">
        <v>1591</v>
      </c>
      <c r="R148" s="2" t="s">
        <v>1591</v>
      </c>
      <c r="T148" s="384" t="e">
        <f t="shared" si="23"/>
        <v>#VALUE!</v>
      </c>
      <c r="V148" s="3"/>
    </row>
    <row r="149" spans="2:22" ht="21.75" customHeight="1">
      <c r="B149" s="436" t="s">
        <v>1614</v>
      </c>
      <c r="C149" s="437">
        <v>7041</v>
      </c>
      <c r="D149" s="422">
        <v>0</v>
      </c>
      <c r="E149" s="421">
        <v>0</v>
      </c>
      <c r="F149" s="438">
        <f t="shared" si="28"/>
        <v>0</v>
      </c>
      <c r="G149" s="421">
        <v>0</v>
      </c>
      <c r="H149" s="438" t="s">
        <v>1591</v>
      </c>
      <c r="I149" s="438" t="s">
        <v>1591</v>
      </c>
      <c r="J149" s="438" t="s">
        <v>1591</v>
      </c>
      <c r="K149" s="438" t="s">
        <v>1591</v>
      </c>
      <c r="L149" s="637"/>
      <c r="M149" s="2">
        <v>0</v>
      </c>
      <c r="N149" s="2">
        <v>0</v>
      </c>
      <c r="O149" s="2" t="s">
        <v>1591</v>
      </c>
      <c r="P149" s="2" t="s">
        <v>1591</v>
      </c>
      <c r="Q149" s="2" t="s">
        <v>1591</v>
      </c>
      <c r="R149" s="2" t="s">
        <v>1591</v>
      </c>
      <c r="T149" s="384" t="e">
        <f t="shared" si="23"/>
        <v>#VALUE!</v>
      </c>
      <c r="V149" s="3"/>
    </row>
    <row r="150" spans="2:22" ht="21.75" customHeight="1">
      <c r="B150" s="436" t="s">
        <v>1500</v>
      </c>
      <c r="C150" s="437">
        <v>7042</v>
      </c>
      <c r="D150" s="422">
        <v>0</v>
      </c>
      <c r="E150" s="421">
        <v>0</v>
      </c>
      <c r="F150" s="438">
        <f t="shared" si="28"/>
        <v>0</v>
      </c>
      <c r="G150" s="421">
        <v>0</v>
      </c>
      <c r="H150" s="438" t="s">
        <v>1591</v>
      </c>
      <c r="I150" s="438" t="s">
        <v>1591</v>
      </c>
      <c r="J150" s="438" t="s">
        <v>1591</v>
      </c>
      <c r="K150" s="438" t="s">
        <v>1591</v>
      </c>
      <c r="L150" s="637"/>
      <c r="M150" s="2">
        <v>0</v>
      </c>
      <c r="N150" s="2">
        <v>0</v>
      </c>
      <c r="O150" s="2" t="s">
        <v>1591</v>
      </c>
      <c r="P150" s="2" t="s">
        <v>1591</v>
      </c>
      <c r="Q150" s="2" t="s">
        <v>1591</v>
      </c>
      <c r="R150" s="2" t="s">
        <v>1591</v>
      </c>
      <c r="T150" s="384" t="e">
        <f t="shared" si="23"/>
        <v>#VALUE!</v>
      </c>
      <c r="V150" s="3"/>
    </row>
    <row r="151" spans="2:22" ht="21.75" customHeight="1">
      <c r="B151" s="436" t="s">
        <v>1581</v>
      </c>
      <c r="C151" s="437">
        <v>7043</v>
      </c>
      <c r="D151" s="422">
        <v>0</v>
      </c>
      <c r="E151" s="421">
        <v>0</v>
      </c>
      <c r="F151" s="438">
        <f t="shared" si="28"/>
        <v>0</v>
      </c>
      <c r="G151" s="421">
        <v>0</v>
      </c>
      <c r="H151" s="438" t="s">
        <v>1591</v>
      </c>
      <c r="I151" s="438" t="s">
        <v>1591</v>
      </c>
      <c r="J151" s="438" t="s">
        <v>1591</v>
      </c>
      <c r="K151" s="438" t="s">
        <v>1591</v>
      </c>
      <c r="L151" s="637"/>
      <c r="M151" s="2">
        <v>0</v>
      </c>
      <c r="N151" s="2">
        <v>0</v>
      </c>
      <c r="O151" s="2" t="s">
        <v>1591</v>
      </c>
      <c r="P151" s="2" t="s">
        <v>1591</v>
      </c>
      <c r="Q151" s="2" t="s">
        <v>1591</v>
      </c>
      <c r="R151" s="2" t="s">
        <v>1591</v>
      </c>
      <c r="T151" s="384" t="e">
        <f t="shared" si="23"/>
        <v>#VALUE!</v>
      </c>
      <c r="V151" s="3"/>
    </row>
    <row r="152" spans="2:22" ht="21.75" customHeight="1">
      <c r="B152" s="436" t="s">
        <v>1582</v>
      </c>
      <c r="C152" s="437">
        <v>7044</v>
      </c>
      <c r="D152" s="422">
        <v>0</v>
      </c>
      <c r="E152" s="421">
        <v>0</v>
      </c>
      <c r="F152" s="438">
        <f t="shared" si="28"/>
        <v>0</v>
      </c>
      <c r="G152" s="421">
        <v>0</v>
      </c>
      <c r="H152" s="438" t="s">
        <v>1591</v>
      </c>
      <c r="I152" s="438" t="s">
        <v>1591</v>
      </c>
      <c r="J152" s="438" t="s">
        <v>1591</v>
      </c>
      <c r="K152" s="438" t="s">
        <v>1591</v>
      </c>
      <c r="L152" s="637"/>
      <c r="M152" s="2">
        <v>0</v>
      </c>
      <c r="N152" s="2">
        <v>0</v>
      </c>
      <c r="O152" s="2" t="s">
        <v>1591</v>
      </c>
      <c r="P152" s="2" t="s">
        <v>1591</v>
      </c>
      <c r="Q152" s="2" t="s">
        <v>1591</v>
      </c>
      <c r="R152" s="2" t="s">
        <v>1591</v>
      </c>
      <c r="T152" s="384" t="e">
        <f t="shared" si="23"/>
        <v>#VALUE!</v>
      </c>
      <c r="V152" s="3"/>
    </row>
    <row r="153" spans="2:22" ht="21.75" customHeight="1">
      <c r="B153" s="436" t="s">
        <v>1580</v>
      </c>
      <c r="C153" s="437">
        <v>7045</v>
      </c>
      <c r="D153" s="422">
        <v>0</v>
      </c>
      <c r="E153" s="421">
        <v>0</v>
      </c>
      <c r="F153" s="438">
        <f t="shared" si="28"/>
        <v>0</v>
      </c>
      <c r="G153" s="421">
        <v>0</v>
      </c>
      <c r="H153" s="438" t="s">
        <v>1591</v>
      </c>
      <c r="I153" s="438" t="s">
        <v>1591</v>
      </c>
      <c r="J153" s="438" t="s">
        <v>1591</v>
      </c>
      <c r="K153" s="438" t="s">
        <v>1591</v>
      </c>
      <c r="L153" s="637"/>
      <c r="M153" s="2">
        <v>0</v>
      </c>
      <c r="N153" s="2">
        <v>0</v>
      </c>
      <c r="O153" s="2" t="s">
        <v>1591</v>
      </c>
      <c r="P153" s="2" t="s">
        <v>1591</v>
      </c>
      <c r="Q153" s="2" t="s">
        <v>1591</v>
      </c>
      <c r="R153" s="2" t="s">
        <v>1591</v>
      </c>
      <c r="T153" s="384" t="e">
        <f t="shared" si="23"/>
        <v>#VALUE!</v>
      </c>
      <c r="V153" s="3"/>
    </row>
    <row r="154" spans="2:22" ht="21.75" customHeight="1">
      <c r="B154" s="436" t="s">
        <v>1627</v>
      </c>
      <c r="C154" s="437">
        <v>7046</v>
      </c>
      <c r="D154" s="422">
        <v>0</v>
      </c>
      <c r="E154" s="421">
        <v>0</v>
      </c>
      <c r="F154" s="438">
        <f t="shared" si="28"/>
        <v>0</v>
      </c>
      <c r="G154" s="421">
        <v>0</v>
      </c>
      <c r="H154" s="438" t="s">
        <v>1591</v>
      </c>
      <c r="I154" s="438" t="s">
        <v>1591</v>
      </c>
      <c r="J154" s="438" t="s">
        <v>1591</v>
      </c>
      <c r="K154" s="438" t="s">
        <v>1591</v>
      </c>
      <c r="L154" s="637"/>
      <c r="M154" s="2">
        <v>0</v>
      </c>
      <c r="N154" s="2">
        <v>0</v>
      </c>
      <c r="O154" s="2" t="s">
        <v>1591</v>
      </c>
      <c r="P154" s="2" t="s">
        <v>1591</v>
      </c>
      <c r="Q154" s="2" t="s">
        <v>1591</v>
      </c>
      <c r="R154" s="2" t="s">
        <v>1591</v>
      </c>
      <c r="T154" s="384" t="e">
        <f t="shared" si="23"/>
        <v>#VALUE!</v>
      </c>
      <c r="V154" s="3"/>
    </row>
    <row r="155" spans="2:22" ht="19.5" customHeight="1">
      <c r="B155" s="440"/>
      <c r="C155" s="441"/>
      <c r="D155" s="442"/>
      <c r="E155" s="442"/>
      <c r="F155" s="442"/>
      <c r="G155" s="442"/>
      <c r="H155" s="442"/>
      <c r="I155" s="442"/>
      <c r="J155" s="442"/>
      <c r="K155" s="442"/>
      <c r="V155" s="3"/>
    </row>
    <row r="156" spans="2:22" ht="21.75" customHeight="1">
      <c r="B156" s="446"/>
      <c r="C156" s="449"/>
      <c r="D156" s="450"/>
      <c r="E156" s="451"/>
      <c r="F156" s="451"/>
      <c r="G156" s="451"/>
      <c r="H156" s="451"/>
      <c r="I156" s="451"/>
      <c r="J156" s="451"/>
      <c r="K156" s="451"/>
      <c r="V156" s="3"/>
    </row>
    <row r="157" spans="2:22" ht="25.5">
      <c r="B157" s="446" t="s">
        <v>1341</v>
      </c>
      <c r="C157" s="452"/>
      <c r="D157" s="942"/>
      <c r="E157" s="942"/>
      <c r="F157" s="942"/>
      <c r="G157" s="942"/>
      <c r="H157" s="453"/>
      <c r="I157" s="943" t="s">
        <v>1383</v>
      </c>
      <c r="J157" s="943"/>
      <c r="K157" s="943"/>
      <c r="P157" s="2" t="s">
        <v>1383</v>
      </c>
    </row>
    <row r="158" spans="2:22" ht="26.25">
      <c r="B158" s="454"/>
      <c r="C158" s="455"/>
      <c r="D158" s="940" t="s">
        <v>734</v>
      </c>
      <c r="E158" s="940"/>
      <c r="F158" s="940"/>
      <c r="G158" s="940"/>
      <c r="H158" s="447"/>
      <c r="I158" s="941" t="s">
        <v>1755</v>
      </c>
      <c r="J158" s="941"/>
      <c r="K158" s="941"/>
      <c r="P158" s="2" t="s">
        <v>1755</v>
      </c>
    </row>
    <row r="159" spans="2:22" ht="44.25" customHeight="1">
      <c r="B159" s="440" t="s">
        <v>303</v>
      </c>
      <c r="D159" s="443"/>
      <c r="E159" s="444"/>
      <c r="F159" s="444"/>
      <c r="G159" s="444"/>
      <c r="H159" s="444"/>
      <c r="I159" s="444"/>
      <c r="J159" s="444"/>
      <c r="K159" s="444"/>
    </row>
    <row r="160" spans="2:22">
      <c r="B160" s="440"/>
      <c r="D160" s="443"/>
      <c r="E160" s="444"/>
      <c r="F160" s="444"/>
      <c r="G160" s="444"/>
      <c r="H160" s="444"/>
      <c r="I160" s="444"/>
      <c r="J160" s="444"/>
      <c r="K160" s="444"/>
    </row>
    <row r="161" spans="2:11">
      <c r="B161" s="440"/>
      <c r="D161" s="443"/>
      <c r="E161" s="444"/>
      <c r="F161" s="444"/>
      <c r="G161" s="444"/>
      <c r="H161" s="444"/>
      <c r="I161" s="444"/>
      <c r="J161" s="444"/>
      <c r="K161" s="444"/>
    </row>
    <row r="162" spans="2:11">
      <c r="B162" s="440"/>
      <c r="D162" s="443"/>
      <c r="E162" s="444"/>
      <c r="F162" s="444"/>
      <c r="G162" s="444"/>
      <c r="H162" s="444"/>
      <c r="I162" s="444"/>
      <c r="J162" s="444"/>
      <c r="K162" s="444"/>
    </row>
    <row r="163" spans="2:11">
      <c r="B163" s="440"/>
      <c r="D163" s="443"/>
      <c r="E163" s="444"/>
      <c r="F163" s="444"/>
      <c r="G163" s="444"/>
      <c r="H163" s="444"/>
      <c r="I163" s="444"/>
      <c r="J163" s="444"/>
      <c r="K163" s="444"/>
    </row>
    <row r="164" spans="2:11">
      <c r="B164" s="440"/>
      <c r="D164" s="443"/>
      <c r="E164" s="444"/>
      <c r="F164" s="444"/>
      <c r="G164" s="444"/>
      <c r="H164" s="444"/>
      <c r="I164" s="444"/>
      <c r="J164" s="444"/>
      <c r="K164" s="444"/>
    </row>
    <row r="165" spans="2:11">
      <c r="B165" s="440"/>
      <c r="D165" s="443"/>
      <c r="E165" s="444"/>
      <c r="F165" s="444"/>
      <c r="G165" s="444"/>
      <c r="H165" s="444"/>
      <c r="I165" s="444"/>
      <c r="J165" s="444"/>
      <c r="K165" s="444"/>
    </row>
    <row r="166" spans="2:11">
      <c r="B166" s="440"/>
      <c r="D166" s="443"/>
      <c r="E166" s="444"/>
      <c r="F166" s="444"/>
      <c r="G166" s="444"/>
      <c r="H166" s="444"/>
      <c r="I166" s="444"/>
      <c r="J166" s="444"/>
      <c r="K166" s="444"/>
    </row>
    <row r="167" spans="2:11">
      <c r="B167" s="440"/>
      <c r="D167" s="443"/>
      <c r="E167" s="444"/>
      <c r="F167" s="444"/>
      <c r="G167" s="444"/>
      <c r="H167" s="444"/>
      <c r="I167" s="444"/>
      <c r="J167" s="444"/>
      <c r="K167" s="444"/>
    </row>
    <row r="168" spans="2:11">
      <c r="B168" s="440"/>
      <c r="D168" s="443"/>
      <c r="E168" s="444"/>
      <c r="F168" s="444"/>
      <c r="G168" s="444"/>
      <c r="H168" s="444"/>
      <c r="I168" s="444"/>
      <c r="J168" s="444"/>
      <c r="K168" s="444"/>
    </row>
    <row r="169" spans="2:11">
      <c r="B169" s="440"/>
      <c r="D169" s="443"/>
      <c r="E169" s="444"/>
      <c r="F169" s="444"/>
      <c r="G169" s="444"/>
      <c r="H169" s="444"/>
      <c r="I169" s="444"/>
      <c r="J169" s="444"/>
      <c r="K169" s="444"/>
    </row>
    <row r="170" spans="2:11">
      <c r="B170" s="440"/>
      <c r="D170" s="443"/>
      <c r="E170" s="444"/>
      <c r="F170" s="444"/>
      <c r="G170" s="444"/>
      <c r="H170" s="444"/>
      <c r="I170" s="444"/>
      <c r="J170" s="444"/>
      <c r="K170" s="444"/>
    </row>
    <row r="171" spans="2:11">
      <c r="B171" s="440"/>
      <c r="D171" s="443"/>
      <c r="E171" s="444"/>
      <c r="F171" s="444"/>
      <c r="G171" s="444"/>
      <c r="H171" s="444"/>
      <c r="I171" s="444"/>
      <c r="J171" s="444"/>
      <c r="K171" s="444"/>
    </row>
    <row r="172" spans="2:11">
      <c r="B172" s="440"/>
      <c r="D172" s="443"/>
      <c r="E172" s="444"/>
      <c r="F172" s="444"/>
      <c r="G172" s="444"/>
      <c r="H172" s="444"/>
      <c r="I172" s="444"/>
      <c r="J172" s="444"/>
      <c r="K172" s="444"/>
    </row>
    <row r="173" spans="2:11">
      <c r="B173" s="440"/>
      <c r="D173" s="443"/>
      <c r="E173" s="444"/>
      <c r="F173" s="444"/>
      <c r="G173" s="444"/>
      <c r="H173" s="444"/>
      <c r="I173" s="444"/>
      <c r="J173" s="444"/>
      <c r="K173" s="444"/>
    </row>
    <row r="174" spans="2:11">
      <c r="B174" s="440"/>
      <c r="D174" s="443"/>
      <c r="E174" s="444"/>
      <c r="F174" s="444"/>
      <c r="G174" s="444"/>
      <c r="H174" s="444"/>
      <c r="I174" s="444"/>
      <c r="J174" s="444"/>
      <c r="K174" s="444"/>
    </row>
    <row r="175" spans="2:11">
      <c r="B175" s="440"/>
      <c r="D175" s="443"/>
      <c r="E175" s="444"/>
      <c r="F175" s="444"/>
      <c r="G175" s="444"/>
      <c r="H175" s="444"/>
      <c r="I175" s="444"/>
      <c r="J175" s="444"/>
      <c r="K175" s="444"/>
    </row>
    <row r="176" spans="2:11">
      <c r="B176" s="440"/>
      <c r="D176" s="443"/>
      <c r="E176" s="444"/>
      <c r="F176" s="444"/>
      <c r="G176" s="444"/>
      <c r="H176" s="444"/>
      <c r="I176" s="444"/>
      <c r="J176" s="444"/>
      <c r="K176" s="444"/>
    </row>
    <row r="177" spans="2:11">
      <c r="B177" s="440"/>
      <c r="D177" s="443"/>
      <c r="E177" s="444"/>
      <c r="F177" s="444"/>
      <c r="G177" s="444"/>
      <c r="H177" s="444"/>
      <c r="I177" s="444"/>
      <c r="J177" s="444"/>
      <c r="K177" s="444"/>
    </row>
    <row r="178" spans="2:11">
      <c r="B178" s="440"/>
      <c r="D178" s="443"/>
      <c r="E178" s="444"/>
      <c r="F178" s="444"/>
      <c r="G178" s="444"/>
      <c r="H178" s="444"/>
      <c r="I178" s="444"/>
      <c r="J178" s="444"/>
      <c r="K178" s="444"/>
    </row>
    <row r="179" spans="2:11">
      <c r="B179" s="440"/>
      <c r="D179" s="443"/>
      <c r="E179" s="444"/>
      <c r="F179" s="444"/>
      <c r="G179" s="444"/>
      <c r="H179" s="444"/>
      <c r="I179" s="444"/>
      <c r="J179" s="444"/>
      <c r="K179" s="444"/>
    </row>
    <row r="180" spans="2:11">
      <c r="B180" s="440"/>
      <c r="D180" s="443"/>
      <c r="E180" s="444"/>
      <c r="F180" s="444"/>
      <c r="G180" s="444"/>
      <c r="H180" s="444"/>
      <c r="I180" s="444"/>
      <c r="J180" s="444"/>
      <c r="K180" s="444"/>
    </row>
    <row r="181" spans="2:11">
      <c r="B181" s="440"/>
      <c r="D181" s="443"/>
      <c r="E181" s="444"/>
      <c r="F181" s="444"/>
      <c r="G181" s="444"/>
      <c r="H181" s="444"/>
      <c r="I181" s="444"/>
      <c r="J181" s="444"/>
      <c r="K181" s="444"/>
    </row>
    <row r="182" spans="2:11">
      <c r="B182" s="440"/>
      <c r="D182" s="443"/>
      <c r="E182" s="444"/>
      <c r="F182" s="444"/>
      <c r="G182" s="444"/>
      <c r="H182" s="444"/>
      <c r="I182" s="444"/>
      <c r="J182" s="444"/>
      <c r="K182" s="444"/>
    </row>
    <row r="183" spans="2:11">
      <c r="B183" s="440"/>
      <c r="D183" s="443"/>
      <c r="E183" s="444"/>
      <c r="F183" s="444"/>
      <c r="G183" s="444"/>
      <c r="H183" s="444"/>
      <c r="I183" s="444"/>
      <c r="J183" s="444"/>
      <c r="K183" s="444"/>
    </row>
    <row r="184" spans="2:11">
      <c r="B184" s="440"/>
      <c r="D184" s="443"/>
      <c r="E184" s="444"/>
      <c r="F184" s="444"/>
      <c r="G184" s="444"/>
      <c r="H184" s="444"/>
      <c r="I184" s="444"/>
      <c r="J184" s="444"/>
      <c r="K184" s="444"/>
    </row>
    <row r="185" spans="2:11">
      <c r="B185" s="440"/>
      <c r="D185" s="443"/>
      <c r="E185" s="444"/>
      <c r="F185" s="444"/>
      <c r="G185" s="444"/>
      <c r="H185" s="444"/>
      <c r="I185" s="444"/>
      <c r="J185" s="444"/>
      <c r="K185" s="444"/>
    </row>
    <row r="186" spans="2:11">
      <c r="B186" s="440"/>
      <c r="D186" s="443"/>
      <c r="E186" s="444"/>
      <c r="F186" s="444"/>
      <c r="G186" s="444"/>
      <c r="H186" s="444"/>
      <c r="I186" s="444"/>
      <c r="J186" s="444"/>
      <c r="K186" s="444"/>
    </row>
    <row r="187" spans="2:11">
      <c r="B187" s="440"/>
      <c r="D187" s="443"/>
      <c r="E187" s="444"/>
      <c r="F187" s="444"/>
      <c r="G187" s="444"/>
      <c r="H187" s="444"/>
      <c r="I187" s="444"/>
      <c r="J187" s="444"/>
      <c r="K187" s="444"/>
    </row>
    <row r="188" spans="2:11">
      <c r="B188" s="440"/>
      <c r="D188" s="443"/>
      <c r="E188" s="444"/>
      <c r="F188" s="444"/>
      <c r="G188" s="444"/>
      <c r="H188" s="444"/>
      <c r="I188" s="444"/>
      <c r="J188" s="444"/>
      <c r="K188" s="444"/>
    </row>
    <row r="189" spans="2:11">
      <c r="B189" s="440"/>
      <c r="D189" s="443"/>
      <c r="E189" s="444"/>
      <c r="F189" s="444"/>
      <c r="G189" s="444"/>
      <c r="H189" s="444"/>
      <c r="I189" s="444"/>
      <c r="J189" s="444"/>
      <c r="K189" s="444"/>
    </row>
    <row r="190" spans="2:11">
      <c r="B190" s="440"/>
      <c r="D190" s="443"/>
      <c r="E190" s="444"/>
      <c r="F190" s="444"/>
      <c r="G190" s="444"/>
      <c r="H190" s="444"/>
      <c r="I190" s="444"/>
      <c r="J190" s="444"/>
      <c r="K190" s="444"/>
    </row>
    <row r="191" spans="2:11">
      <c r="B191" s="440"/>
      <c r="D191" s="443"/>
      <c r="E191" s="444"/>
      <c r="F191" s="444"/>
      <c r="G191" s="444"/>
      <c r="H191" s="444"/>
      <c r="I191" s="444"/>
      <c r="J191" s="444"/>
      <c r="K191" s="444"/>
    </row>
    <row r="192" spans="2:11">
      <c r="B192" s="440"/>
      <c r="D192" s="443"/>
      <c r="E192" s="444"/>
      <c r="F192" s="444"/>
      <c r="G192" s="444"/>
      <c r="H192" s="444"/>
      <c r="I192" s="444"/>
      <c r="J192" s="444"/>
      <c r="K192" s="444"/>
    </row>
    <row r="193" spans="2:11">
      <c r="B193" s="440"/>
      <c r="D193" s="443"/>
      <c r="E193" s="444"/>
      <c r="F193" s="444"/>
      <c r="G193" s="444"/>
      <c r="H193" s="444"/>
      <c r="I193" s="444"/>
      <c r="J193" s="444"/>
      <c r="K193" s="444"/>
    </row>
    <row r="194" spans="2:11">
      <c r="B194" s="440"/>
      <c r="D194" s="443"/>
      <c r="E194" s="444"/>
      <c r="F194" s="444"/>
      <c r="G194" s="444"/>
      <c r="H194" s="444"/>
      <c r="I194" s="444"/>
      <c r="J194" s="444"/>
      <c r="K194" s="444"/>
    </row>
    <row r="195" spans="2:11">
      <c r="B195" s="440"/>
      <c r="D195" s="443"/>
      <c r="E195" s="444"/>
      <c r="F195" s="444"/>
      <c r="G195" s="444"/>
      <c r="H195" s="444"/>
      <c r="I195" s="444"/>
      <c r="J195" s="444"/>
      <c r="K195" s="444"/>
    </row>
    <row r="196" spans="2:11">
      <c r="B196" s="440"/>
      <c r="D196" s="443"/>
      <c r="E196" s="444"/>
      <c r="F196" s="444"/>
      <c r="G196" s="444"/>
      <c r="H196" s="444"/>
      <c r="I196" s="444"/>
      <c r="J196" s="444"/>
      <c r="K196" s="444"/>
    </row>
    <row r="197" spans="2:11">
      <c r="B197" s="440"/>
      <c r="D197" s="443"/>
      <c r="E197" s="444"/>
      <c r="F197" s="444"/>
      <c r="G197" s="444"/>
      <c r="H197" s="444"/>
      <c r="I197" s="444"/>
      <c r="J197" s="444"/>
      <c r="K197" s="444"/>
    </row>
    <row r="198" spans="2:11">
      <c r="B198" s="440"/>
      <c r="D198" s="443"/>
      <c r="E198" s="444"/>
      <c r="F198" s="444"/>
      <c r="G198" s="444"/>
      <c r="H198" s="444"/>
      <c r="I198" s="444"/>
      <c r="J198" s="444"/>
      <c r="K198" s="444"/>
    </row>
    <row r="199" spans="2:11">
      <c r="B199" s="440"/>
      <c r="D199" s="443"/>
      <c r="E199" s="444"/>
      <c r="F199" s="444"/>
      <c r="G199" s="444"/>
      <c r="H199" s="444"/>
      <c r="I199" s="444"/>
      <c r="J199" s="444"/>
      <c r="K199" s="444"/>
    </row>
    <row r="200" spans="2:11">
      <c r="B200" s="445"/>
    </row>
    <row r="201" spans="2:11">
      <c r="B201" s="445"/>
    </row>
    <row r="202" spans="2:11">
      <c r="B202" s="445"/>
    </row>
    <row r="203" spans="2:11">
      <c r="B203" s="445"/>
    </row>
    <row r="204" spans="2:11">
      <c r="B204" s="445"/>
    </row>
    <row r="205" spans="2:11">
      <c r="B205" s="445"/>
    </row>
    <row r="206" spans="2:11">
      <c r="B206" s="445"/>
    </row>
    <row r="207" spans="2:11">
      <c r="B207" s="445"/>
    </row>
    <row r="208" spans="2:11">
      <c r="B208" s="445"/>
    </row>
    <row r="209" spans="2:2">
      <c r="B209" s="445"/>
    </row>
    <row r="210" spans="2:2">
      <c r="B210" s="445"/>
    </row>
    <row r="211" spans="2:2">
      <c r="B211" s="445"/>
    </row>
    <row r="212" spans="2:2">
      <c r="B212" s="445"/>
    </row>
    <row r="213" spans="2:2">
      <c r="B213" s="445"/>
    </row>
    <row r="214" spans="2:2">
      <c r="B214" s="445"/>
    </row>
    <row r="215" spans="2:2">
      <c r="B215" s="445"/>
    </row>
    <row r="216" spans="2:2">
      <c r="B216" s="445"/>
    </row>
    <row r="217" spans="2:2">
      <c r="B217" s="445"/>
    </row>
    <row r="218" spans="2:2">
      <c r="B218" s="445"/>
    </row>
    <row r="219" spans="2:2">
      <c r="B219" s="445"/>
    </row>
    <row r="220" spans="2:2">
      <c r="B220" s="445"/>
    </row>
    <row r="221" spans="2:2">
      <c r="B221" s="445"/>
    </row>
    <row r="222" spans="2:2">
      <c r="B222" s="445"/>
    </row>
    <row r="223" spans="2:2">
      <c r="B223" s="445"/>
    </row>
    <row r="224" spans="2:2">
      <c r="B224" s="445"/>
    </row>
    <row r="225" spans="2:2">
      <c r="B225" s="445"/>
    </row>
    <row r="226" spans="2:2">
      <c r="B226" s="445"/>
    </row>
    <row r="227" spans="2:2">
      <c r="B227" s="445"/>
    </row>
    <row r="228" spans="2:2">
      <c r="B228" s="445"/>
    </row>
    <row r="229" spans="2:2">
      <c r="B229" s="445"/>
    </row>
    <row r="230" spans="2:2">
      <c r="B230" s="445"/>
    </row>
    <row r="231" spans="2:2">
      <c r="B231" s="445"/>
    </row>
    <row r="232" spans="2:2">
      <c r="B232" s="445"/>
    </row>
    <row r="233" spans="2:2">
      <c r="B233" s="445"/>
    </row>
    <row r="234" spans="2:2">
      <c r="B234" s="445"/>
    </row>
    <row r="235" spans="2:2">
      <c r="B235" s="445"/>
    </row>
    <row r="236" spans="2:2">
      <c r="B236" s="445"/>
    </row>
    <row r="237" spans="2:2">
      <c r="B237" s="445"/>
    </row>
    <row r="238" spans="2:2">
      <c r="B238" s="445"/>
    </row>
    <row r="239" spans="2:2">
      <c r="B239" s="445"/>
    </row>
    <row r="240" spans="2:2">
      <c r="B240" s="445"/>
    </row>
    <row r="241" spans="2:2">
      <c r="B241" s="445"/>
    </row>
    <row r="242" spans="2:2">
      <c r="B242" s="445"/>
    </row>
    <row r="243" spans="2:2">
      <c r="B243" s="445"/>
    </row>
    <row r="244" spans="2:2">
      <c r="B244" s="445"/>
    </row>
    <row r="245" spans="2:2">
      <c r="B245" s="445"/>
    </row>
    <row r="246" spans="2:2">
      <c r="B246" s="445"/>
    </row>
    <row r="247" spans="2:2">
      <c r="B247" s="445"/>
    </row>
    <row r="248" spans="2:2">
      <c r="B248" s="445"/>
    </row>
    <row r="249" spans="2:2">
      <c r="B249" s="445"/>
    </row>
    <row r="250" spans="2:2">
      <c r="B250" s="445"/>
    </row>
    <row r="251" spans="2:2">
      <c r="B251" s="445"/>
    </row>
    <row r="252" spans="2:2">
      <c r="B252" s="445"/>
    </row>
    <row r="253" spans="2:2">
      <c r="B253" s="445"/>
    </row>
    <row r="254" spans="2:2">
      <c r="B254" s="445"/>
    </row>
    <row r="255" spans="2:2">
      <c r="B255" s="445"/>
    </row>
    <row r="256" spans="2:2">
      <c r="B256" s="445"/>
    </row>
    <row r="257" spans="2:2">
      <c r="B257" s="445"/>
    </row>
    <row r="258" spans="2:2">
      <c r="B258" s="445"/>
    </row>
    <row r="259" spans="2:2">
      <c r="B259" s="445"/>
    </row>
    <row r="260" spans="2:2">
      <c r="B260" s="445"/>
    </row>
    <row r="261" spans="2:2">
      <c r="B261" s="445"/>
    </row>
    <row r="262" spans="2:2">
      <c r="B262" s="445"/>
    </row>
    <row r="263" spans="2:2">
      <c r="B263" s="445"/>
    </row>
    <row r="264" spans="2:2">
      <c r="B264" s="445"/>
    </row>
    <row r="265" spans="2:2">
      <c r="B265" s="445"/>
    </row>
    <row r="266" spans="2:2">
      <c r="B266" s="445"/>
    </row>
    <row r="267" spans="2:2">
      <c r="B267" s="445"/>
    </row>
    <row r="268" spans="2:2">
      <c r="B268" s="445"/>
    </row>
    <row r="269" spans="2:2">
      <c r="B269" s="445"/>
    </row>
    <row r="270" spans="2:2">
      <c r="B270" s="445"/>
    </row>
    <row r="271" spans="2:2">
      <c r="B271" s="445"/>
    </row>
    <row r="272" spans="2:2">
      <c r="B272" s="445"/>
    </row>
    <row r="273" spans="2:2">
      <c r="B273" s="445"/>
    </row>
    <row r="274" spans="2:2">
      <c r="B274" s="445"/>
    </row>
    <row r="275" spans="2:2">
      <c r="B275" s="445"/>
    </row>
    <row r="276" spans="2:2">
      <c r="B276" s="445"/>
    </row>
    <row r="277" spans="2:2">
      <c r="B277" s="445"/>
    </row>
    <row r="278" spans="2:2">
      <c r="B278" s="445"/>
    </row>
    <row r="279" spans="2:2">
      <c r="B279" s="445"/>
    </row>
    <row r="280" spans="2:2">
      <c r="B280" s="445"/>
    </row>
    <row r="281" spans="2:2">
      <c r="B281" s="445"/>
    </row>
    <row r="282" spans="2:2">
      <c r="B282" s="445"/>
    </row>
    <row r="283" spans="2:2">
      <c r="B283" s="445"/>
    </row>
    <row r="284" spans="2:2">
      <c r="B284" s="445"/>
    </row>
    <row r="285" spans="2:2">
      <c r="B285" s="445"/>
    </row>
    <row r="286" spans="2:2">
      <c r="B286" s="445"/>
    </row>
    <row r="287" spans="2:2">
      <c r="B287" s="445"/>
    </row>
    <row r="288" spans="2:2">
      <c r="B288" s="445"/>
    </row>
    <row r="289" spans="2:2">
      <c r="B289" s="445"/>
    </row>
    <row r="290" spans="2:2">
      <c r="B290" s="445"/>
    </row>
    <row r="291" spans="2:2">
      <c r="B291" s="445"/>
    </row>
    <row r="292" spans="2:2">
      <c r="B292" s="445"/>
    </row>
    <row r="293" spans="2:2">
      <c r="B293" s="445"/>
    </row>
    <row r="294" spans="2:2">
      <c r="B294" s="445"/>
    </row>
    <row r="295" spans="2:2">
      <c r="B295" s="445"/>
    </row>
    <row r="296" spans="2:2">
      <c r="B296" s="445"/>
    </row>
    <row r="297" spans="2:2">
      <c r="B297" s="445"/>
    </row>
    <row r="298" spans="2:2">
      <c r="B298" s="445"/>
    </row>
    <row r="299" spans="2:2">
      <c r="B299" s="445"/>
    </row>
    <row r="300" spans="2:2">
      <c r="B300" s="445"/>
    </row>
    <row r="301" spans="2:2">
      <c r="B301" s="445"/>
    </row>
    <row r="302" spans="2:2">
      <c r="B302" s="445"/>
    </row>
    <row r="303" spans="2:2">
      <c r="B303" s="445"/>
    </row>
    <row r="304" spans="2:2">
      <c r="B304" s="445"/>
    </row>
    <row r="305" spans="2:2">
      <c r="B305" s="445"/>
    </row>
    <row r="306" spans="2:2">
      <c r="B306" s="445"/>
    </row>
    <row r="307" spans="2:2">
      <c r="B307" s="445"/>
    </row>
    <row r="308" spans="2:2">
      <c r="B308" s="445"/>
    </row>
    <row r="309" spans="2:2">
      <c r="B309" s="445"/>
    </row>
    <row r="310" spans="2:2">
      <c r="B310" s="445"/>
    </row>
    <row r="311" spans="2:2">
      <c r="B311" s="445"/>
    </row>
    <row r="312" spans="2:2">
      <c r="B312" s="445"/>
    </row>
    <row r="313" spans="2:2">
      <c r="B313" s="445"/>
    </row>
    <row r="314" spans="2:2">
      <c r="B314" s="445"/>
    </row>
    <row r="315" spans="2:2">
      <c r="B315" s="445"/>
    </row>
    <row r="316" spans="2:2">
      <c r="B316" s="445"/>
    </row>
    <row r="317" spans="2:2">
      <c r="B317" s="445"/>
    </row>
    <row r="318" spans="2:2">
      <c r="B318" s="445"/>
    </row>
    <row r="319" spans="2:2">
      <c r="B319" s="445"/>
    </row>
    <row r="320" spans="2:2">
      <c r="B320" s="445"/>
    </row>
    <row r="321" spans="2:2">
      <c r="B321" s="445"/>
    </row>
    <row r="322" spans="2:2">
      <c r="B322" s="445"/>
    </row>
    <row r="323" spans="2:2">
      <c r="B323" s="445"/>
    </row>
    <row r="324" spans="2:2">
      <c r="B324" s="445"/>
    </row>
    <row r="325" spans="2:2">
      <c r="B325" s="445"/>
    </row>
    <row r="326" spans="2:2">
      <c r="B326" s="445"/>
    </row>
    <row r="327" spans="2:2">
      <c r="B327" s="445"/>
    </row>
    <row r="328" spans="2:2">
      <c r="B328" s="445"/>
    </row>
    <row r="329" spans="2:2">
      <c r="B329" s="445"/>
    </row>
    <row r="330" spans="2:2">
      <c r="B330" s="445"/>
    </row>
    <row r="331" spans="2:2">
      <c r="B331" s="445"/>
    </row>
    <row r="332" spans="2:2">
      <c r="B332" s="445"/>
    </row>
    <row r="333" spans="2:2">
      <c r="B333" s="445"/>
    </row>
    <row r="334" spans="2:2">
      <c r="B334" s="445"/>
    </row>
    <row r="335" spans="2:2">
      <c r="B335" s="445"/>
    </row>
    <row r="336" spans="2:2">
      <c r="B336" s="445"/>
    </row>
    <row r="337" spans="2:2">
      <c r="B337" s="445"/>
    </row>
    <row r="338" spans="2:2">
      <c r="B338" s="445"/>
    </row>
    <row r="339" spans="2:2">
      <c r="B339" s="445"/>
    </row>
    <row r="340" spans="2:2">
      <c r="B340" s="445"/>
    </row>
    <row r="341" spans="2:2">
      <c r="B341" s="445"/>
    </row>
    <row r="342" spans="2:2">
      <c r="B342" s="445"/>
    </row>
    <row r="343" spans="2:2">
      <c r="B343" s="445"/>
    </row>
    <row r="344" spans="2:2">
      <c r="B344" s="445"/>
    </row>
    <row r="345" spans="2:2">
      <c r="B345" s="445"/>
    </row>
    <row r="346" spans="2:2">
      <c r="B346" s="445"/>
    </row>
    <row r="347" spans="2:2">
      <c r="B347" s="445"/>
    </row>
    <row r="348" spans="2:2">
      <c r="B348" s="445"/>
    </row>
    <row r="349" spans="2:2">
      <c r="B349" s="445"/>
    </row>
    <row r="350" spans="2:2">
      <c r="B350" s="445"/>
    </row>
    <row r="351" spans="2:2">
      <c r="B351" s="445"/>
    </row>
    <row r="352" spans="2:2">
      <c r="B352" s="445"/>
    </row>
    <row r="353" spans="2:2">
      <c r="B353" s="445"/>
    </row>
    <row r="354" spans="2:2">
      <c r="B354" s="445"/>
    </row>
    <row r="355" spans="2:2">
      <c r="B355" s="445"/>
    </row>
    <row r="356" spans="2:2">
      <c r="B356" s="445"/>
    </row>
    <row r="357" spans="2:2">
      <c r="B357" s="445"/>
    </row>
    <row r="358" spans="2:2">
      <c r="B358" s="445"/>
    </row>
    <row r="359" spans="2:2">
      <c r="B359" s="445"/>
    </row>
    <row r="360" spans="2:2">
      <c r="B360" s="445"/>
    </row>
    <row r="361" spans="2:2">
      <c r="B361" s="445"/>
    </row>
    <row r="362" spans="2:2">
      <c r="B362" s="445"/>
    </row>
    <row r="363" spans="2:2">
      <c r="B363" s="445"/>
    </row>
    <row r="364" spans="2:2">
      <c r="B364" s="445"/>
    </row>
    <row r="365" spans="2:2">
      <c r="B365" s="445"/>
    </row>
    <row r="366" spans="2:2">
      <c r="B366" s="445"/>
    </row>
  </sheetData>
  <mergeCells count="59">
    <mergeCell ref="I23:J23"/>
    <mergeCell ref="I12:J12"/>
    <mergeCell ref="I13:J13"/>
    <mergeCell ref="I14:J14"/>
    <mergeCell ref="I16:K16"/>
    <mergeCell ref="I19:J19"/>
    <mergeCell ref="I15:J15"/>
    <mergeCell ref="C22:H22"/>
    <mergeCell ref="I22:J22"/>
    <mergeCell ref="C19:H19"/>
    <mergeCell ref="I18:K18"/>
    <mergeCell ref="C20:H20"/>
    <mergeCell ref="C21:H21"/>
    <mergeCell ref="C18:H18"/>
    <mergeCell ref="I21:J21"/>
    <mergeCell ref="I20:J20"/>
    <mergeCell ref="C23:H23"/>
    <mergeCell ref="C25:H25"/>
    <mergeCell ref="B83:K83"/>
    <mergeCell ref="B38:K38"/>
    <mergeCell ref="B37:K37"/>
    <mergeCell ref="C26:H26"/>
    <mergeCell ref="I24:J24"/>
    <mergeCell ref="C24:H24"/>
    <mergeCell ref="I25:J25"/>
    <mergeCell ref="I26:J26"/>
    <mergeCell ref="C28:H28"/>
    <mergeCell ref="I28:J28"/>
    <mergeCell ref="E34:E35"/>
    <mergeCell ref="C29:H29"/>
    <mergeCell ref="B32:K32"/>
    <mergeCell ref="B34:B35"/>
    <mergeCell ref="I30:J30"/>
    <mergeCell ref="C34:C35"/>
    <mergeCell ref="B51:K51"/>
    <mergeCell ref="B89:K89"/>
    <mergeCell ref="B113:K113"/>
    <mergeCell ref="B90:K90"/>
    <mergeCell ref="B84:K84"/>
    <mergeCell ref="B119:K119"/>
    <mergeCell ref="I27:J27"/>
    <mergeCell ref="C30:H30"/>
    <mergeCell ref="C27:H27"/>
    <mergeCell ref="D54:K54"/>
    <mergeCell ref="D34:D35"/>
    <mergeCell ref="G34:G35"/>
    <mergeCell ref="I29:J29"/>
    <mergeCell ref="F34:F35"/>
    <mergeCell ref="H34:K34"/>
    <mergeCell ref="B125:K125"/>
    <mergeCell ref="B118:K118"/>
    <mergeCell ref="B100:K100"/>
    <mergeCell ref="D158:G158"/>
    <mergeCell ref="I158:K158"/>
    <mergeCell ref="D157:G157"/>
    <mergeCell ref="I157:K157"/>
    <mergeCell ref="B101:K101"/>
    <mergeCell ref="B112:K112"/>
    <mergeCell ref="B126:K126"/>
  </mergeCells>
  <phoneticPr fontId="0" type="noConversion"/>
  <conditionalFormatting sqref="D82:K82">
    <cfRule type="cellIs" dxfId="20" priority="27" operator="lessThanOrEqual">
      <formula>0</formula>
    </cfRule>
  </conditionalFormatting>
  <conditionalFormatting sqref="D58:G82 G91 D127:G154 G55:G57 D54 D85:G88 D55:F81 D39:G50 D52:G53 H76:K77 H81:K81 D102:K111 H142:K147 F74:K75 H129:K129 H55:K56 D92:G99">
    <cfRule type="notContainsBlanks" dxfId="19" priority="26">
      <formula>LEN(TRIM(D39))&gt;0</formula>
    </cfRule>
  </conditionalFormatting>
  <pageMargins left="0.39370078740157483" right="0" top="0" bottom="0" header="0" footer="0"/>
  <pageSetup paperSize="9" scale="33" fitToHeight="2" orientation="portrait" blackAndWhite="1" r:id="rId1"/>
  <headerFooter alignWithMargins="0"/>
  <rowBreaks count="1" manualBreakCount="1">
    <brk id="82" min="1" max="11" man="1"/>
  </rowBreaks>
  <ignoredErrors>
    <ignoredError sqref="I82:J82 I80:K80 G143 G145:G147 J81:K81" evalError="1"/>
    <ignoredError sqref="G4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598"/>
  <sheetViews>
    <sheetView view="pageBreakPreview" topLeftCell="A350" zoomScale="33" zoomScaleNormal="35" zoomScaleSheetLayoutView="33" workbookViewId="0">
      <selection activeCell="AC450" sqref="AC450"/>
    </sheetView>
  </sheetViews>
  <sheetFormatPr defaultRowHeight="33.75"/>
  <cols>
    <col min="1" max="1" width="2.28515625" style="65" customWidth="1"/>
    <col min="2" max="2" width="15.42578125" style="95" bestFit="1" customWidth="1"/>
    <col min="3" max="3" width="89.5703125" style="148" customWidth="1"/>
    <col min="4" max="4" width="71.42578125" style="190" customWidth="1"/>
    <col min="5" max="5" width="45.140625" style="175" customWidth="1"/>
    <col min="6" max="6" width="8.7109375" style="175" customWidth="1"/>
    <col min="7" max="7" width="23.28515625" style="175" customWidth="1"/>
    <col min="8" max="8" width="14" style="790" customWidth="1"/>
    <col min="9" max="9" width="20.7109375" style="175" customWidth="1"/>
    <col min="10" max="10" width="10.28515625" style="790" customWidth="1"/>
    <col min="11" max="11" width="19.7109375" style="175" customWidth="1"/>
    <col min="12" max="12" width="15.7109375" style="175" customWidth="1"/>
    <col min="13" max="13" width="10.7109375" style="790" customWidth="1"/>
    <col min="14" max="14" width="21.5703125" style="175" customWidth="1"/>
    <col min="15" max="15" width="10.85546875" style="790" customWidth="1"/>
    <col min="16" max="16" width="21.28515625" style="175" customWidth="1"/>
    <col min="17" max="17" width="12" style="175" customWidth="1"/>
    <col min="18" max="18" width="25.42578125" style="175" customWidth="1"/>
    <col min="19" max="20" width="19.140625" style="167" customWidth="1"/>
    <col min="21" max="21" width="12.28515625" style="175" customWidth="1"/>
    <col min="22" max="22" width="10.5703125" style="791" customWidth="1"/>
    <col min="23" max="23" width="20.5703125" style="175" customWidth="1"/>
    <col min="24" max="24" width="10.85546875" style="791" customWidth="1"/>
    <col min="25" max="25" width="11.28515625" style="791" customWidth="1"/>
    <col min="26" max="26" width="22.85546875" style="175" customWidth="1"/>
    <col min="27" max="27" width="25.5703125" style="175" customWidth="1"/>
    <col min="28" max="28" width="25.7109375" style="175" customWidth="1"/>
    <col min="29" max="30" width="28" style="150" customWidth="1"/>
    <col min="31" max="31" width="39.140625" style="166" customWidth="1"/>
    <col min="32" max="32" width="44.140625" style="166" customWidth="1"/>
    <col min="33" max="33" width="33.5703125" style="151" customWidth="1"/>
    <col min="34" max="34" width="28.140625" style="149" customWidth="1"/>
    <col min="35" max="35" width="25.85546875" style="152" hidden="1" customWidth="1"/>
    <col min="36" max="36" width="22.7109375" style="152" hidden="1" customWidth="1"/>
    <col min="37" max="37" width="25.85546875" style="152" hidden="1" customWidth="1"/>
    <col min="38" max="38" width="22.28515625" style="152" hidden="1" customWidth="1"/>
    <col min="39" max="39" width="21.42578125" style="152" hidden="1" customWidth="1"/>
    <col min="40" max="40" width="21.7109375" style="152" hidden="1" customWidth="1"/>
    <col min="41" max="41" width="21.42578125" style="165" hidden="1" customWidth="1"/>
    <col min="42" max="42" width="28.85546875" style="152" hidden="1" customWidth="1"/>
    <col min="43" max="43" width="29.85546875" style="165" hidden="1" customWidth="1"/>
    <col min="44" max="44" width="18.5703125" style="165" hidden="1" customWidth="1"/>
    <col min="45" max="45" width="28.85546875" style="152" hidden="1" customWidth="1"/>
    <col min="46" max="46" width="25.7109375" style="152" hidden="1" customWidth="1"/>
    <col min="47" max="47" width="22.7109375" style="152" hidden="1" customWidth="1"/>
    <col min="48" max="48" width="20.7109375" style="152" hidden="1" customWidth="1"/>
    <col min="49" max="49" width="28.85546875" style="152" customWidth="1"/>
    <col min="50" max="50" width="21.42578125" style="65" customWidth="1"/>
    <col min="51" max="51" width="31.140625" style="65" customWidth="1"/>
    <col min="52" max="52" width="9.140625" style="65"/>
    <col min="53" max="53" width="17.85546875" style="65" customWidth="1"/>
    <col min="54" max="16384" width="9.140625" style="65"/>
  </cols>
  <sheetData>
    <row r="1" spans="2:53" s="60" customFormat="1" ht="45">
      <c r="B1" s="91"/>
      <c r="C1" s="144"/>
      <c r="D1" s="186"/>
      <c r="E1" s="167"/>
      <c r="F1" s="167"/>
      <c r="G1" s="167"/>
      <c r="H1" s="715"/>
      <c r="I1" s="167"/>
      <c r="J1" s="715"/>
      <c r="K1" s="167"/>
      <c r="L1" s="167"/>
      <c r="M1" s="715"/>
      <c r="N1" s="167"/>
      <c r="O1" s="715"/>
      <c r="P1" s="167"/>
      <c r="Q1" s="167"/>
      <c r="R1" s="167"/>
      <c r="S1" s="167"/>
      <c r="T1" s="167"/>
      <c r="U1" s="167"/>
      <c r="V1" s="715"/>
      <c r="W1" s="167"/>
      <c r="X1" s="715"/>
      <c r="Y1" s="715"/>
      <c r="Z1" s="167"/>
      <c r="AA1" s="167"/>
      <c r="AB1" s="167"/>
      <c r="AC1" s="150"/>
      <c r="AD1" s="150"/>
      <c r="AE1" s="149"/>
      <c r="AF1" s="149"/>
      <c r="AG1" s="151"/>
      <c r="AH1" s="149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</row>
    <row r="2" spans="2:53" s="61" customFormat="1" ht="64.5">
      <c r="B2" s="92"/>
      <c r="C2" s="1009" t="s">
        <v>135</v>
      </c>
      <c r="D2" s="1009"/>
      <c r="E2" s="1010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53"/>
      <c r="AD2" s="153"/>
      <c r="AE2" s="154"/>
      <c r="AF2" s="154"/>
      <c r="AG2" s="155"/>
      <c r="AH2" s="156"/>
      <c r="AI2" s="157"/>
      <c r="AJ2" s="158"/>
      <c r="AK2" s="159"/>
      <c r="AL2" s="157"/>
      <c r="AM2" s="158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2:53" s="62" customFormat="1" ht="33">
      <c r="B3" s="93"/>
      <c r="C3" s="145"/>
      <c r="D3" s="187"/>
      <c r="E3" s="168"/>
      <c r="F3" s="168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716"/>
      <c r="Y3" s="716"/>
      <c r="Z3" s="168"/>
      <c r="AA3" s="168"/>
      <c r="AB3" s="168"/>
      <c r="AC3" s="153"/>
      <c r="AD3" s="153"/>
      <c r="AE3" s="154"/>
      <c r="AF3" s="154"/>
      <c r="AG3" s="155"/>
      <c r="AH3" s="154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53" s="717" customFormat="1" ht="128.25" customHeight="1">
      <c r="B4" s="1003"/>
      <c r="C4" s="1003" t="s">
        <v>1685</v>
      </c>
      <c r="D4" s="1004"/>
      <c r="E4" s="1003" t="s">
        <v>1686</v>
      </c>
      <c r="F4" s="1005" t="s">
        <v>1687</v>
      </c>
      <c r="G4" s="998" t="s">
        <v>1688</v>
      </c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 t="s">
        <v>1689</v>
      </c>
      <c r="T4" s="998"/>
      <c r="U4" s="998" t="s">
        <v>1690</v>
      </c>
      <c r="V4" s="998"/>
      <c r="W4" s="998"/>
      <c r="X4" s="998" t="s">
        <v>1691</v>
      </c>
      <c r="Y4" s="998"/>
      <c r="Z4" s="998"/>
      <c r="AA4" s="998" t="s">
        <v>1692</v>
      </c>
      <c r="AB4" s="998" t="s">
        <v>1693</v>
      </c>
      <c r="AC4" s="996" t="s">
        <v>1380</v>
      </c>
      <c r="AD4" s="996" t="s">
        <v>1693</v>
      </c>
      <c r="AE4" s="999" t="s">
        <v>1380</v>
      </c>
      <c r="AF4" s="999" t="s">
        <v>1693</v>
      </c>
      <c r="AG4" s="1000" t="s">
        <v>1694</v>
      </c>
      <c r="AH4" s="999" t="s">
        <v>1692</v>
      </c>
      <c r="AI4" s="997" t="s">
        <v>1695</v>
      </c>
      <c r="AJ4" s="1001"/>
      <c r="AK4" s="1001"/>
      <c r="AL4" s="1001"/>
      <c r="AM4" s="1001"/>
      <c r="AN4" s="1001"/>
      <c r="AO4" s="997" t="s">
        <v>1696</v>
      </c>
      <c r="AP4" s="997"/>
      <c r="AQ4" s="997" t="s">
        <v>1692</v>
      </c>
      <c r="AR4" s="997" t="s">
        <v>1697</v>
      </c>
      <c r="AS4" s="997"/>
      <c r="AT4" s="997" t="s">
        <v>1698</v>
      </c>
      <c r="AU4" s="1001"/>
      <c r="AV4" s="1001"/>
      <c r="AW4" s="1001"/>
      <c r="AX4" s="995" t="s">
        <v>136</v>
      </c>
    </row>
    <row r="5" spans="2:53" s="717" customFormat="1" ht="39.75" customHeight="1">
      <c r="B5" s="1003"/>
      <c r="C5" s="1003"/>
      <c r="D5" s="1004"/>
      <c r="E5" s="1003"/>
      <c r="F5" s="1005"/>
      <c r="G5" s="998" t="s">
        <v>1699</v>
      </c>
      <c r="H5" s="718"/>
      <c r="I5" s="998" t="s">
        <v>1700</v>
      </c>
      <c r="J5" s="998"/>
      <c r="K5" s="1006"/>
      <c r="L5" s="1006"/>
      <c r="M5" s="1006"/>
      <c r="N5" s="1006"/>
      <c r="O5" s="1006"/>
      <c r="P5" s="1006"/>
      <c r="Q5" s="1006"/>
      <c r="R5" s="998" t="s">
        <v>1701</v>
      </c>
      <c r="S5" s="1007" t="s">
        <v>1702</v>
      </c>
      <c r="T5" s="1007" t="s">
        <v>1703</v>
      </c>
      <c r="U5" s="1008" t="s">
        <v>1704</v>
      </c>
      <c r="V5" s="998" t="s">
        <v>1705</v>
      </c>
      <c r="W5" s="998"/>
      <c r="X5" s="1002" t="s">
        <v>1706</v>
      </c>
      <c r="Y5" s="998" t="s">
        <v>1707</v>
      </c>
      <c r="Z5" s="998"/>
      <c r="AA5" s="998"/>
      <c r="AB5" s="998"/>
      <c r="AC5" s="996"/>
      <c r="AD5" s="996"/>
      <c r="AE5" s="999"/>
      <c r="AF5" s="999"/>
      <c r="AG5" s="1000"/>
      <c r="AH5" s="999"/>
      <c r="AI5" s="1001"/>
      <c r="AJ5" s="1001"/>
      <c r="AK5" s="1001"/>
      <c r="AL5" s="1001"/>
      <c r="AM5" s="1001"/>
      <c r="AN5" s="1001"/>
      <c r="AO5" s="997"/>
      <c r="AP5" s="997"/>
      <c r="AQ5" s="997"/>
      <c r="AR5" s="997"/>
      <c r="AS5" s="997"/>
      <c r="AT5" s="1001"/>
      <c r="AU5" s="1001"/>
      <c r="AV5" s="1001"/>
      <c r="AW5" s="1001"/>
      <c r="AX5" s="995"/>
    </row>
    <row r="6" spans="2:53" s="660" customFormat="1" ht="377.25" customHeight="1">
      <c r="B6" s="1003"/>
      <c r="C6" s="1003"/>
      <c r="D6" s="1004"/>
      <c r="E6" s="1003"/>
      <c r="F6" s="1005"/>
      <c r="G6" s="998"/>
      <c r="H6" s="719" t="s">
        <v>1760</v>
      </c>
      <c r="I6" s="720" t="s">
        <v>1708</v>
      </c>
      <c r="J6" s="719" t="s">
        <v>1760</v>
      </c>
      <c r="K6" s="720" t="s">
        <v>1709</v>
      </c>
      <c r="L6" s="720" t="s">
        <v>1710</v>
      </c>
      <c r="M6" s="719" t="s">
        <v>1760</v>
      </c>
      <c r="N6" s="720" t="s">
        <v>1711</v>
      </c>
      <c r="O6" s="719" t="s">
        <v>1760</v>
      </c>
      <c r="P6" s="721" t="s">
        <v>1712</v>
      </c>
      <c r="Q6" s="721" t="s">
        <v>1713</v>
      </c>
      <c r="R6" s="998"/>
      <c r="S6" s="1007"/>
      <c r="T6" s="1007"/>
      <c r="U6" s="1008"/>
      <c r="V6" s="722" t="s">
        <v>1714</v>
      </c>
      <c r="W6" s="723" t="s">
        <v>1715</v>
      </c>
      <c r="X6" s="1002"/>
      <c r="Y6" s="724" t="s">
        <v>1714</v>
      </c>
      <c r="Z6" s="721" t="s">
        <v>1716</v>
      </c>
      <c r="AA6" s="998"/>
      <c r="AB6" s="998"/>
      <c r="AC6" s="996"/>
      <c r="AD6" s="996"/>
      <c r="AE6" s="999"/>
      <c r="AF6" s="999"/>
      <c r="AG6" s="1000"/>
      <c r="AH6" s="999"/>
      <c r="AI6" s="995" t="s">
        <v>1717</v>
      </c>
      <c r="AJ6" s="995"/>
      <c r="AK6" s="995" t="s">
        <v>1718</v>
      </c>
      <c r="AL6" s="995"/>
      <c r="AM6" s="995" t="s">
        <v>1719</v>
      </c>
      <c r="AN6" s="995"/>
      <c r="AO6" s="997"/>
      <c r="AP6" s="997"/>
      <c r="AQ6" s="997"/>
      <c r="AR6" s="997"/>
      <c r="AS6" s="997"/>
      <c r="AT6" s="995" t="s">
        <v>1720</v>
      </c>
      <c r="AU6" s="995"/>
      <c r="AV6" s="704" t="s">
        <v>1721</v>
      </c>
      <c r="AW6" s="177" t="s">
        <v>1722</v>
      </c>
      <c r="AX6" s="995"/>
    </row>
    <row r="7" spans="2:53" s="730" customFormat="1" ht="27.75">
      <c r="B7" s="725" t="s">
        <v>1759</v>
      </c>
      <c r="C7" s="1003" t="s">
        <v>1723</v>
      </c>
      <c r="D7" s="1004"/>
      <c r="E7" s="725" t="s">
        <v>1724</v>
      </c>
      <c r="F7" s="725" t="s">
        <v>1725</v>
      </c>
      <c r="G7" s="726">
        <v>5</v>
      </c>
      <c r="H7" s="727"/>
      <c r="I7" s="725" t="s">
        <v>1726</v>
      </c>
      <c r="J7" s="727"/>
      <c r="K7" s="725" t="s">
        <v>1727</v>
      </c>
      <c r="L7" s="725" t="s">
        <v>1728</v>
      </c>
      <c r="M7" s="727"/>
      <c r="N7" s="725" t="s">
        <v>1729</v>
      </c>
      <c r="O7" s="727"/>
      <c r="P7" s="726">
        <v>10</v>
      </c>
      <c r="Q7" s="726">
        <v>11</v>
      </c>
      <c r="R7" s="726">
        <v>12</v>
      </c>
      <c r="S7" s="726">
        <v>13</v>
      </c>
      <c r="T7" s="726">
        <v>14</v>
      </c>
      <c r="U7" s="726">
        <v>15</v>
      </c>
      <c r="V7" s="718">
        <v>16</v>
      </c>
      <c r="W7" s="726">
        <v>17</v>
      </c>
      <c r="X7" s="718">
        <v>18</v>
      </c>
      <c r="Y7" s="718">
        <v>19</v>
      </c>
      <c r="Z7" s="726">
        <v>20</v>
      </c>
      <c r="AA7" s="726">
        <v>21</v>
      </c>
      <c r="AB7" s="726">
        <v>22</v>
      </c>
      <c r="AC7" s="142"/>
      <c r="AD7" s="142"/>
      <c r="AE7" s="726"/>
      <c r="AF7" s="726"/>
      <c r="AG7" s="142">
        <v>21</v>
      </c>
      <c r="AH7" s="726">
        <v>21</v>
      </c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8"/>
      <c r="AU7" s="728"/>
      <c r="AV7" s="728"/>
      <c r="AW7" s="728"/>
      <c r="AX7" s="729"/>
    </row>
    <row r="8" spans="2:53" s="660" customFormat="1" ht="33">
      <c r="B8" s="191"/>
      <c r="C8" s="191" t="s">
        <v>1730</v>
      </c>
      <c r="D8" s="192"/>
      <c r="E8" s="193"/>
      <c r="F8" s="193"/>
      <c r="G8" s="193"/>
      <c r="H8" s="731"/>
      <c r="I8" s="193"/>
      <c r="J8" s="731"/>
      <c r="K8" s="193"/>
      <c r="L8" s="193"/>
      <c r="M8" s="731"/>
      <c r="N8" s="193"/>
      <c r="O8" s="731"/>
      <c r="P8" s="193"/>
      <c r="Q8" s="193"/>
      <c r="R8" s="193"/>
      <c r="S8" s="193"/>
      <c r="T8" s="193"/>
      <c r="U8" s="193"/>
      <c r="V8" s="732"/>
      <c r="W8" s="193"/>
      <c r="X8" s="732"/>
      <c r="Y8" s="732"/>
      <c r="Z8" s="193"/>
      <c r="AA8" s="193"/>
      <c r="AB8" s="193"/>
      <c r="AC8" s="195"/>
      <c r="AD8" s="195"/>
      <c r="AE8" s="195"/>
      <c r="AF8" s="195"/>
      <c r="AG8" s="195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733"/>
    </row>
    <row r="9" spans="2:53" s="661" customFormat="1" ht="33">
      <c r="B9" s="191"/>
      <c r="C9" s="191" t="s">
        <v>1877</v>
      </c>
      <c r="D9" s="192"/>
      <c r="E9" s="193"/>
      <c r="F9" s="193"/>
      <c r="G9" s="193"/>
      <c r="H9" s="731"/>
      <c r="I9" s="193"/>
      <c r="J9" s="731"/>
      <c r="K9" s="193"/>
      <c r="L9" s="193"/>
      <c r="M9" s="731"/>
      <c r="N9" s="193"/>
      <c r="O9" s="731"/>
      <c r="P9" s="193"/>
      <c r="Q9" s="193"/>
      <c r="R9" s="193"/>
      <c r="S9" s="193"/>
      <c r="T9" s="193"/>
      <c r="U9" s="193"/>
      <c r="V9" s="732"/>
      <c r="W9" s="193"/>
      <c r="X9" s="732"/>
      <c r="Y9" s="732"/>
      <c r="Z9" s="193"/>
      <c r="AA9" s="193"/>
      <c r="AB9" s="193"/>
      <c r="AC9" s="195"/>
      <c r="AD9" s="195"/>
      <c r="AE9" s="195"/>
      <c r="AF9" s="195"/>
      <c r="AG9" s="208"/>
      <c r="AH9" s="195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734"/>
    </row>
    <row r="10" spans="2:53" s="661" customFormat="1" ht="58.5" hidden="1">
      <c r="B10" s="703"/>
      <c r="C10" s="197"/>
      <c r="D10" s="198" t="s">
        <v>1731</v>
      </c>
      <c r="E10" s="703" t="s">
        <v>1679</v>
      </c>
      <c r="F10" s="703">
        <v>16</v>
      </c>
      <c r="G10" s="199">
        <v>8914</v>
      </c>
      <c r="H10" s="735">
        <v>0.44900000000000001</v>
      </c>
      <c r="I10" s="199">
        <f>3195*H10</f>
        <v>1434.5550000000001</v>
      </c>
      <c r="J10" s="736"/>
      <c r="K10" s="199"/>
      <c r="L10" s="199"/>
      <c r="M10" s="736"/>
      <c r="N10" s="199"/>
      <c r="O10" s="736"/>
      <c r="P10" s="703"/>
      <c r="Q10" s="703"/>
      <c r="R10" s="200">
        <f>G10+I10+K10+L10+N10+P10+Q10</f>
        <v>10348.555</v>
      </c>
      <c r="S10" s="703" t="s">
        <v>1732</v>
      </c>
      <c r="T10" s="703"/>
      <c r="U10" s="703"/>
      <c r="V10" s="718"/>
      <c r="W10" s="703"/>
      <c r="X10" s="718">
        <v>34</v>
      </c>
      <c r="Y10" s="737">
        <v>0.3</v>
      </c>
      <c r="Z10" s="199">
        <f>R10*Y10</f>
        <v>3104.5664999999999</v>
      </c>
      <c r="AA10" s="199"/>
      <c r="AB10" s="199">
        <f>R10</f>
        <v>10348.555</v>
      </c>
      <c r="AC10" s="738"/>
      <c r="AD10" s="738">
        <f>T10</f>
        <v>0</v>
      </c>
      <c r="AE10" s="202"/>
      <c r="AF10" s="202">
        <f>V10</f>
        <v>0</v>
      </c>
      <c r="AG10" s="738"/>
      <c r="AH10" s="202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734"/>
    </row>
    <row r="11" spans="2:53" s="76" customFormat="1" ht="58.5" hidden="1">
      <c r="B11" s="703"/>
      <c r="C11" s="197"/>
      <c r="D11" s="198" t="s">
        <v>1733</v>
      </c>
      <c r="E11" s="703" t="s">
        <v>1734</v>
      </c>
      <c r="F11" s="703">
        <v>14</v>
      </c>
      <c r="G11" s="199">
        <v>7732</v>
      </c>
      <c r="H11" s="735">
        <v>0.25</v>
      </c>
      <c r="I11" s="199">
        <f>G11*H11</f>
        <v>1933</v>
      </c>
      <c r="J11" s="737">
        <v>0.4</v>
      </c>
      <c r="K11" s="204">
        <f>(G11+I11)*J11</f>
        <v>3866</v>
      </c>
      <c r="L11" s="703"/>
      <c r="M11" s="718"/>
      <c r="N11" s="703"/>
      <c r="O11" s="718"/>
      <c r="P11" s="703"/>
      <c r="Q11" s="703"/>
      <c r="R11" s="200">
        <f>G11+I11+K11+L11+N11+P11+Q11</f>
        <v>13531</v>
      </c>
      <c r="S11" s="199">
        <v>1</v>
      </c>
      <c r="T11" s="199"/>
      <c r="U11" s="703"/>
      <c r="V11" s="718"/>
      <c r="W11" s="703"/>
      <c r="X11" s="718">
        <v>32</v>
      </c>
      <c r="Y11" s="737">
        <v>0.3</v>
      </c>
      <c r="Z11" s="199">
        <f>R11*Y11</f>
        <v>4059.2999999999997</v>
      </c>
      <c r="AA11" s="199"/>
      <c r="AB11" s="199">
        <f t="shared" ref="AB11:AB17" si="0">(R11+Z11)*S11</f>
        <v>17590.3</v>
      </c>
      <c r="AC11" s="738"/>
      <c r="AD11" s="738">
        <f>(T11+AB11)*U11</f>
        <v>0</v>
      </c>
      <c r="AE11" s="202"/>
      <c r="AF11" s="202">
        <f>(V11+AD11)*W11</f>
        <v>0</v>
      </c>
      <c r="AG11" s="738">
        <f>7100*S11</f>
        <v>7100</v>
      </c>
      <c r="AH11" s="202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739"/>
      <c r="AY11" s="661"/>
      <c r="AZ11" s="661"/>
      <c r="BA11" s="661"/>
    </row>
    <row r="12" spans="2:53" s="76" customFormat="1" ht="58.5">
      <c r="B12" s="703">
        <v>1</v>
      </c>
      <c r="C12" s="197" t="s">
        <v>1341</v>
      </c>
      <c r="D12" s="198" t="s">
        <v>1731</v>
      </c>
      <c r="E12" s="703" t="s">
        <v>1679</v>
      </c>
      <c r="F12" s="703"/>
      <c r="G12" s="199">
        <f>R11</f>
        <v>13531</v>
      </c>
      <c r="H12" s="735">
        <v>0.44900000000000001</v>
      </c>
      <c r="I12" s="199">
        <f>3195*H12</f>
        <v>1434.5550000000001</v>
      </c>
      <c r="J12" s="718"/>
      <c r="K12" s="703"/>
      <c r="L12" s="703"/>
      <c r="M12" s="737">
        <v>0.15</v>
      </c>
      <c r="N12" s="199">
        <f>(G12+I12)*M12</f>
        <v>2244.8332500000001</v>
      </c>
      <c r="O12" s="736"/>
      <c r="P12" s="703"/>
      <c r="Q12" s="703"/>
      <c r="R12" s="199">
        <f>G12+I12+K12+L12+N12+P12+Q12</f>
        <v>17210.38825</v>
      </c>
      <c r="S12" s="199">
        <v>1</v>
      </c>
      <c r="T12" s="703"/>
      <c r="U12" s="703"/>
      <c r="V12" s="718"/>
      <c r="W12" s="703"/>
      <c r="X12" s="718">
        <v>35</v>
      </c>
      <c r="Y12" s="737">
        <v>0.3</v>
      </c>
      <c r="Z12" s="199">
        <f>R12*Y12*S12</f>
        <v>5163.1164749999998</v>
      </c>
      <c r="AA12" s="199"/>
      <c r="AB12" s="199">
        <f t="shared" si="0"/>
        <v>22373.504724999999</v>
      </c>
      <c r="AC12" s="738"/>
      <c r="AD12" s="738">
        <f t="shared" ref="AD12:AD18" si="1">AB12+AC12</f>
        <v>22373.504724999999</v>
      </c>
      <c r="AE12" s="202">
        <f>AD12</f>
        <v>22373.504724999999</v>
      </c>
      <c r="AF12" s="202">
        <f t="shared" ref="AF12:AF18" si="2">AE12-AB12</f>
        <v>0</v>
      </c>
      <c r="AG12" s="738">
        <f t="shared" ref="AG12:AG18" si="3">7100*S12</f>
        <v>7100</v>
      </c>
      <c r="AH12" s="202"/>
      <c r="AI12" s="203">
        <f t="shared" ref="AI12:AI18" si="4">G12*S12</f>
        <v>13531</v>
      </c>
      <c r="AJ12" s="203">
        <f t="shared" ref="AJ12:AJ18" si="5">G12*T12</f>
        <v>0</v>
      </c>
      <c r="AK12" s="203">
        <f>R12*S12</f>
        <v>17210.38825</v>
      </c>
      <c r="AL12" s="203">
        <f>R12*T12</f>
        <v>0</v>
      </c>
      <c r="AM12" s="203">
        <f>AK12-AI12</f>
        <v>3679.38825</v>
      </c>
      <c r="AN12" s="203">
        <f t="shared" ref="AM12:AN18" si="6">AL12-AJ12</f>
        <v>0</v>
      </c>
      <c r="AO12" s="205">
        <f>Z12*S12</f>
        <v>5163.1164749999998</v>
      </c>
      <c r="AP12" s="205">
        <f t="shared" ref="AP12:AP18" si="7">Z12*T12</f>
        <v>0</v>
      </c>
      <c r="AQ12" s="205">
        <f t="shared" ref="AQ12:AQ18" si="8">AA12</f>
        <v>0</v>
      </c>
      <c r="AR12" s="205">
        <f t="shared" ref="AR12:AR18" si="9">W12*S12</f>
        <v>0</v>
      </c>
      <c r="AS12" s="205">
        <f t="shared" ref="AS12:AS18" si="10">W12*T12</f>
        <v>0</v>
      </c>
      <c r="AT12" s="209">
        <f>AK12</f>
        <v>17210.38825</v>
      </c>
      <c r="AU12" s="209">
        <f>AL12</f>
        <v>0</v>
      </c>
      <c r="AV12" s="203"/>
      <c r="AW12" s="251">
        <f>R12*S12</f>
        <v>17210.38825</v>
      </c>
      <c r="AX12" s="739"/>
      <c r="AY12" s="838">
        <f>AW12</f>
        <v>17210.38825</v>
      </c>
      <c r="AZ12" s="838"/>
      <c r="BA12" s="839"/>
    </row>
    <row r="13" spans="2:53" s="76" customFormat="1" ht="58.5">
      <c r="B13" s="703">
        <f>1+B12</f>
        <v>2</v>
      </c>
      <c r="C13" s="197" t="s">
        <v>1342</v>
      </c>
      <c r="D13" s="198" t="s">
        <v>1731</v>
      </c>
      <c r="E13" s="703" t="s">
        <v>1735</v>
      </c>
      <c r="F13" s="703">
        <v>15</v>
      </c>
      <c r="G13" s="199">
        <f>(G12*90%)</f>
        <v>12177.9</v>
      </c>
      <c r="H13" s="735">
        <v>0.44900000000000001</v>
      </c>
      <c r="I13" s="199">
        <f>3195*H13</f>
        <v>1434.5550000000001</v>
      </c>
      <c r="J13" s="718"/>
      <c r="K13" s="703"/>
      <c r="L13" s="703"/>
      <c r="M13" s="737">
        <v>0.15</v>
      </c>
      <c r="N13" s="199">
        <f>(G13+I13)*M13</f>
        <v>2041.86825</v>
      </c>
      <c r="O13" s="736"/>
      <c r="P13" s="703"/>
      <c r="Q13" s="703"/>
      <c r="R13" s="199">
        <f>G13+I13+K13+L13+N13+P13+Q13+0.005</f>
        <v>15654.328249999999</v>
      </c>
      <c r="S13" s="199">
        <v>1</v>
      </c>
      <c r="T13" s="703"/>
      <c r="U13" s="703"/>
      <c r="V13" s="718"/>
      <c r="W13" s="703"/>
      <c r="X13" s="718">
        <v>20</v>
      </c>
      <c r="Y13" s="737">
        <v>0.3</v>
      </c>
      <c r="Z13" s="199">
        <f>R13*Y13*S13</f>
        <v>4696.2984749999996</v>
      </c>
      <c r="AA13" s="199"/>
      <c r="AB13" s="199">
        <f t="shared" si="0"/>
        <v>20350.626724999998</v>
      </c>
      <c r="AC13" s="738"/>
      <c r="AD13" s="738">
        <f t="shared" si="1"/>
        <v>20350.626724999998</v>
      </c>
      <c r="AE13" s="202">
        <f>20000*S13</f>
        <v>20000</v>
      </c>
      <c r="AF13" s="202">
        <f>AE13-AB13</f>
        <v>-350.62672499999826</v>
      </c>
      <c r="AG13" s="738">
        <f t="shared" si="3"/>
        <v>7100</v>
      </c>
      <c r="AH13" s="202"/>
      <c r="AI13" s="203">
        <f t="shared" si="4"/>
        <v>12177.9</v>
      </c>
      <c r="AJ13" s="203">
        <f t="shared" si="5"/>
        <v>0</v>
      </c>
      <c r="AK13" s="203">
        <f t="shared" ref="AK13:AK18" si="11">R13*S13</f>
        <v>15654.328249999999</v>
      </c>
      <c r="AL13" s="203">
        <f t="shared" ref="AL13:AL18" si="12">R13*T13</f>
        <v>0</v>
      </c>
      <c r="AM13" s="203">
        <f t="shared" si="6"/>
        <v>3476.428249999999</v>
      </c>
      <c r="AN13" s="203">
        <f t="shared" si="6"/>
        <v>0</v>
      </c>
      <c r="AO13" s="205">
        <f t="shared" ref="AO13:AO18" si="13">Z13*S13</f>
        <v>4696.2984749999996</v>
      </c>
      <c r="AP13" s="205">
        <f t="shared" si="7"/>
        <v>0</v>
      </c>
      <c r="AQ13" s="205">
        <f t="shared" si="8"/>
        <v>0</v>
      </c>
      <c r="AR13" s="205">
        <f t="shared" si="9"/>
        <v>0</v>
      </c>
      <c r="AS13" s="205">
        <f t="shared" si="10"/>
        <v>0</v>
      </c>
      <c r="AT13" s="209">
        <f t="shared" ref="AT13:AU78" si="14">AK13</f>
        <v>15654.328249999999</v>
      </c>
      <c r="AU13" s="209">
        <f t="shared" si="14"/>
        <v>0</v>
      </c>
      <c r="AV13" s="203"/>
      <c r="AW13" s="251">
        <f t="shared" ref="AW13:AW24" si="15">R13*S13</f>
        <v>15654.328249999999</v>
      </c>
      <c r="AX13" s="739"/>
      <c r="AY13" s="838">
        <f t="shared" ref="AY13:AY18" si="16">AW13</f>
        <v>15654.328249999999</v>
      </c>
      <c r="AZ13" s="838"/>
      <c r="BA13" s="839"/>
    </row>
    <row r="14" spans="2:53" s="76" customFormat="1" ht="63">
      <c r="B14" s="703">
        <f t="shared" ref="B14:B77" si="17">1+B13</f>
        <v>3</v>
      </c>
      <c r="C14" s="197" t="s">
        <v>1343</v>
      </c>
      <c r="D14" s="198" t="s">
        <v>1761</v>
      </c>
      <c r="E14" s="703" t="s">
        <v>1743</v>
      </c>
      <c r="F14" s="703"/>
      <c r="G14" s="199">
        <f>(G13*85%)</f>
        <v>10351.215</v>
      </c>
      <c r="H14" s="735">
        <v>0.44900000000000001</v>
      </c>
      <c r="I14" s="199">
        <f>3195*H14</f>
        <v>1434.5550000000001</v>
      </c>
      <c r="J14" s="718"/>
      <c r="K14" s="703"/>
      <c r="L14" s="703"/>
      <c r="M14" s="737">
        <v>0.15</v>
      </c>
      <c r="N14" s="199">
        <f>(G14+I14)*M14</f>
        <v>1767.8655000000001</v>
      </c>
      <c r="O14" s="736"/>
      <c r="P14" s="703"/>
      <c r="Q14" s="703"/>
      <c r="R14" s="199">
        <f>G14+I14+K14+L14+N14+P14+Q14</f>
        <v>13553.6355</v>
      </c>
      <c r="S14" s="199">
        <v>1</v>
      </c>
      <c r="T14" s="703"/>
      <c r="U14" s="703"/>
      <c r="V14" s="718"/>
      <c r="W14" s="703"/>
      <c r="X14" s="731">
        <v>25</v>
      </c>
      <c r="Y14" s="737">
        <v>0.3</v>
      </c>
      <c r="Z14" s="199">
        <f>R14*Y14</f>
        <v>4066.0906500000001</v>
      </c>
      <c r="AA14" s="199"/>
      <c r="AB14" s="199">
        <f t="shared" si="0"/>
        <v>17619.726150000002</v>
      </c>
      <c r="AC14" s="738">
        <f>AF14</f>
        <v>2380.2738499999978</v>
      </c>
      <c r="AD14" s="738">
        <f t="shared" si="1"/>
        <v>20000</v>
      </c>
      <c r="AE14" s="202">
        <f>20000*S14</f>
        <v>20000</v>
      </c>
      <c r="AF14" s="202">
        <f>AE14-AB14</f>
        <v>2380.2738499999978</v>
      </c>
      <c r="AG14" s="738">
        <f t="shared" si="3"/>
        <v>7100</v>
      </c>
      <c r="AH14" s="202"/>
      <c r="AI14" s="203">
        <f t="shared" si="4"/>
        <v>10351.215</v>
      </c>
      <c r="AJ14" s="203">
        <f t="shared" si="5"/>
        <v>0</v>
      </c>
      <c r="AK14" s="203">
        <f t="shared" si="11"/>
        <v>13553.6355</v>
      </c>
      <c r="AL14" s="203">
        <f t="shared" si="12"/>
        <v>0</v>
      </c>
      <c r="AM14" s="203">
        <f>AK14-AI14</f>
        <v>3202.4205000000002</v>
      </c>
      <c r="AN14" s="203">
        <f>AL14-AJ14</f>
        <v>0</v>
      </c>
      <c r="AO14" s="205">
        <f t="shared" si="13"/>
        <v>4066.0906500000001</v>
      </c>
      <c r="AP14" s="205">
        <f t="shared" si="7"/>
        <v>0</v>
      </c>
      <c r="AQ14" s="205">
        <f t="shared" si="8"/>
        <v>0</v>
      </c>
      <c r="AR14" s="205">
        <f t="shared" si="9"/>
        <v>0</v>
      </c>
      <c r="AS14" s="205">
        <f t="shared" si="10"/>
        <v>0</v>
      </c>
      <c r="AT14" s="209">
        <f t="shared" si="14"/>
        <v>13553.6355</v>
      </c>
      <c r="AU14" s="209">
        <f t="shared" si="14"/>
        <v>0</v>
      </c>
      <c r="AV14" s="203"/>
      <c r="AW14" s="251">
        <f t="shared" si="15"/>
        <v>13553.6355</v>
      </c>
      <c r="AX14" s="739"/>
      <c r="AY14" s="838">
        <f t="shared" si="16"/>
        <v>13553.6355</v>
      </c>
      <c r="AZ14" s="838"/>
      <c r="BA14" s="839"/>
    </row>
    <row r="15" spans="2:53" s="76" customFormat="1" ht="63" hidden="1">
      <c r="B15" s="703"/>
      <c r="C15" s="197" t="s">
        <v>1344</v>
      </c>
      <c r="D15" s="198" t="s">
        <v>1732</v>
      </c>
      <c r="E15" s="703"/>
      <c r="F15" s="703"/>
      <c r="G15" s="199"/>
      <c r="H15" s="718"/>
      <c r="I15" s="703"/>
      <c r="J15" s="718"/>
      <c r="K15" s="703"/>
      <c r="L15" s="703"/>
      <c r="M15" s="737">
        <v>0.15</v>
      </c>
      <c r="N15" s="199">
        <f>(G15+I15)*M15</f>
        <v>0</v>
      </c>
      <c r="O15" s="736"/>
      <c r="P15" s="703"/>
      <c r="Q15" s="703"/>
      <c r="R15" s="199">
        <f>G15+I15+K15+L15+N15+P15+Q15</f>
        <v>0</v>
      </c>
      <c r="S15" s="199"/>
      <c r="T15" s="703"/>
      <c r="U15" s="703"/>
      <c r="V15" s="718"/>
      <c r="W15" s="703"/>
      <c r="X15" s="718"/>
      <c r="Y15" s="718"/>
      <c r="Z15" s="703"/>
      <c r="AA15" s="199"/>
      <c r="AB15" s="199">
        <f t="shared" si="0"/>
        <v>0</v>
      </c>
      <c r="AC15" s="738"/>
      <c r="AD15" s="738">
        <f t="shared" si="1"/>
        <v>0</v>
      </c>
      <c r="AE15" s="202">
        <f>AD15</f>
        <v>0</v>
      </c>
      <c r="AF15" s="202">
        <f t="shared" si="2"/>
        <v>0</v>
      </c>
      <c r="AG15" s="738"/>
      <c r="AH15" s="202"/>
      <c r="AI15" s="203">
        <f t="shared" si="4"/>
        <v>0</v>
      </c>
      <c r="AJ15" s="203">
        <f t="shared" si="5"/>
        <v>0</v>
      </c>
      <c r="AK15" s="203">
        <f t="shared" si="11"/>
        <v>0</v>
      </c>
      <c r="AL15" s="203">
        <f t="shared" si="12"/>
        <v>0</v>
      </c>
      <c r="AM15" s="203">
        <f t="shared" si="6"/>
        <v>0</v>
      </c>
      <c r="AN15" s="203">
        <f t="shared" si="6"/>
        <v>0</v>
      </c>
      <c r="AO15" s="205">
        <f t="shared" si="13"/>
        <v>0</v>
      </c>
      <c r="AP15" s="205">
        <f t="shared" si="7"/>
        <v>0</v>
      </c>
      <c r="AQ15" s="205">
        <f t="shared" si="8"/>
        <v>0</v>
      </c>
      <c r="AR15" s="205">
        <f t="shared" si="9"/>
        <v>0</v>
      </c>
      <c r="AS15" s="205">
        <f t="shared" si="10"/>
        <v>0</v>
      </c>
      <c r="AT15" s="209">
        <f t="shared" si="14"/>
        <v>0</v>
      </c>
      <c r="AU15" s="209">
        <f t="shared" si="14"/>
        <v>0</v>
      </c>
      <c r="AV15" s="203"/>
      <c r="AW15" s="251">
        <f t="shared" si="15"/>
        <v>0</v>
      </c>
      <c r="AX15" s="740"/>
      <c r="AY15" s="838">
        <f t="shared" si="16"/>
        <v>0</v>
      </c>
      <c r="AZ15" s="838"/>
      <c r="BA15" s="839"/>
    </row>
    <row r="16" spans="2:53" s="76" customFormat="1">
      <c r="B16" s="703">
        <f>B14+1</f>
        <v>4</v>
      </c>
      <c r="C16" s="197" t="s">
        <v>1221</v>
      </c>
      <c r="D16" s="198" t="s">
        <v>1732</v>
      </c>
      <c r="E16" s="703" t="s">
        <v>1222</v>
      </c>
      <c r="F16" s="206">
        <v>15</v>
      </c>
      <c r="G16" s="199">
        <f>G12*90%</f>
        <v>12177.9</v>
      </c>
      <c r="H16" s="736"/>
      <c r="I16" s="199"/>
      <c r="J16" s="741"/>
      <c r="K16" s="206"/>
      <c r="L16" s="206"/>
      <c r="M16" s="737">
        <v>0.15</v>
      </c>
      <c r="N16" s="199">
        <f>(G16+I16)*M16</f>
        <v>1826.6849999999999</v>
      </c>
      <c r="O16" s="737"/>
      <c r="P16" s="206"/>
      <c r="Q16" s="206"/>
      <c r="R16" s="199">
        <f>G16+I16+K16+L16+N16+P16+Q16+0.004</f>
        <v>14004.589</v>
      </c>
      <c r="S16" s="199">
        <v>1</v>
      </c>
      <c r="T16" s="206"/>
      <c r="U16" s="206"/>
      <c r="V16" s="741"/>
      <c r="W16" s="206"/>
      <c r="X16" s="718"/>
      <c r="Y16" s="737"/>
      <c r="Z16" s="199"/>
      <c r="AA16" s="199"/>
      <c r="AB16" s="199">
        <f t="shared" si="0"/>
        <v>14004.589</v>
      </c>
      <c r="AC16" s="738">
        <f>AF16</f>
        <v>0</v>
      </c>
      <c r="AD16" s="738">
        <f t="shared" si="1"/>
        <v>14004.589</v>
      </c>
      <c r="AE16" s="202">
        <f>AB16</f>
        <v>14004.589</v>
      </c>
      <c r="AF16" s="202">
        <f t="shared" si="2"/>
        <v>0</v>
      </c>
      <c r="AG16" s="738">
        <f t="shared" si="3"/>
        <v>7100</v>
      </c>
      <c r="AH16" s="202"/>
      <c r="AI16" s="209">
        <f t="shared" si="4"/>
        <v>12177.9</v>
      </c>
      <c r="AJ16" s="209">
        <f t="shared" si="5"/>
        <v>0</v>
      </c>
      <c r="AK16" s="209">
        <f t="shared" si="11"/>
        <v>14004.589</v>
      </c>
      <c r="AL16" s="209">
        <f t="shared" si="12"/>
        <v>0</v>
      </c>
      <c r="AM16" s="209">
        <f>AK16-AI16</f>
        <v>1826.6890000000003</v>
      </c>
      <c r="AN16" s="209">
        <f>AL16-AJ16</f>
        <v>0</v>
      </c>
      <c r="AO16" s="209">
        <f t="shared" si="13"/>
        <v>0</v>
      </c>
      <c r="AP16" s="209">
        <f t="shared" si="7"/>
        <v>0</v>
      </c>
      <c r="AQ16" s="205">
        <f t="shared" si="8"/>
        <v>0</v>
      </c>
      <c r="AR16" s="205">
        <f t="shared" si="9"/>
        <v>0</v>
      </c>
      <c r="AS16" s="205">
        <f t="shared" si="10"/>
        <v>0</v>
      </c>
      <c r="AT16" s="209">
        <f>AK16</f>
        <v>14004.589</v>
      </c>
      <c r="AU16" s="209">
        <f>AL16</f>
        <v>0</v>
      </c>
      <c r="AV16" s="209"/>
      <c r="AW16" s="251">
        <f t="shared" si="15"/>
        <v>14004.589</v>
      </c>
      <c r="AX16" s="740"/>
      <c r="AY16" s="838">
        <f t="shared" si="16"/>
        <v>14004.589</v>
      </c>
      <c r="AZ16" s="838"/>
      <c r="BA16" s="839"/>
    </row>
    <row r="17" spans="2:53" s="76" customFormat="1" ht="63">
      <c r="B17" s="703">
        <f t="shared" si="17"/>
        <v>5</v>
      </c>
      <c r="C17" s="197" t="s">
        <v>1062</v>
      </c>
      <c r="D17" s="198" t="s">
        <v>1361</v>
      </c>
      <c r="E17" s="703" t="s">
        <v>1063</v>
      </c>
      <c r="F17" s="703">
        <v>11</v>
      </c>
      <c r="G17" s="199">
        <v>6294</v>
      </c>
      <c r="H17" s="735">
        <v>0.28299999999999997</v>
      </c>
      <c r="I17" s="199">
        <f>3195*H17</f>
        <v>904.18499999999995</v>
      </c>
      <c r="J17" s="741"/>
      <c r="K17" s="206"/>
      <c r="L17" s="206"/>
      <c r="M17" s="737">
        <v>0.15</v>
      </c>
      <c r="N17" s="199">
        <f>(G17*M17)</f>
        <v>944.09999999999991</v>
      </c>
      <c r="O17" s="736"/>
      <c r="P17" s="206"/>
      <c r="Q17" s="206"/>
      <c r="R17" s="199">
        <f>G17+I17+K17+L17+N17+P17+Q17</f>
        <v>8142.2849999999999</v>
      </c>
      <c r="S17" s="199">
        <v>1</v>
      </c>
      <c r="T17" s="206"/>
      <c r="U17" s="206"/>
      <c r="V17" s="741"/>
      <c r="W17" s="206"/>
      <c r="X17" s="718">
        <v>28</v>
      </c>
      <c r="Y17" s="737">
        <v>0.3</v>
      </c>
      <c r="Z17" s="199">
        <f>R17*Y17*S17</f>
        <v>2442.6855</v>
      </c>
      <c r="AA17" s="199"/>
      <c r="AB17" s="199">
        <f t="shared" si="0"/>
        <v>10584.970499999999</v>
      </c>
      <c r="AC17" s="738">
        <f>AF17</f>
        <v>2915.0295000000006</v>
      </c>
      <c r="AD17" s="738">
        <f t="shared" si="1"/>
        <v>13500</v>
      </c>
      <c r="AE17" s="202">
        <f>13500*S17</f>
        <v>13500</v>
      </c>
      <c r="AF17" s="202">
        <f t="shared" si="2"/>
        <v>2915.0295000000006</v>
      </c>
      <c r="AG17" s="738">
        <f t="shared" si="3"/>
        <v>7100</v>
      </c>
      <c r="AH17" s="202"/>
      <c r="AI17" s="203">
        <f t="shared" si="4"/>
        <v>6294</v>
      </c>
      <c r="AJ17" s="203">
        <f t="shared" si="5"/>
        <v>0</v>
      </c>
      <c r="AK17" s="203">
        <f t="shared" si="11"/>
        <v>8142.2849999999999</v>
      </c>
      <c r="AL17" s="203">
        <f t="shared" si="12"/>
        <v>0</v>
      </c>
      <c r="AM17" s="203">
        <f>AK17-AI17</f>
        <v>1848.2849999999999</v>
      </c>
      <c r="AN17" s="203">
        <f t="shared" si="6"/>
        <v>0</v>
      </c>
      <c r="AO17" s="205">
        <f t="shared" si="13"/>
        <v>2442.6855</v>
      </c>
      <c r="AP17" s="205">
        <f t="shared" si="7"/>
        <v>0</v>
      </c>
      <c r="AQ17" s="205">
        <f t="shared" si="8"/>
        <v>0</v>
      </c>
      <c r="AR17" s="205">
        <f t="shared" si="9"/>
        <v>0</v>
      </c>
      <c r="AS17" s="205">
        <f t="shared" si="10"/>
        <v>0</v>
      </c>
      <c r="AT17" s="209">
        <f t="shared" si="14"/>
        <v>8142.2849999999999</v>
      </c>
      <c r="AU17" s="209">
        <f t="shared" si="14"/>
        <v>0</v>
      </c>
      <c r="AV17" s="203"/>
      <c r="AW17" s="251">
        <f t="shared" si="15"/>
        <v>8142.2849999999999</v>
      </c>
      <c r="AX17" s="739"/>
      <c r="AY17" s="838">
        <f t="shared" si="16"/>
        <v>8142.2849999999999</v>
      </c>
      <c r="AZ17" s="838"/>
      <c r="BA17" s="839"/>
    </row>
    <row r="18" spans="2:53" s="76" customFormat="1">
      <c r="B18" s="703">
        <f t="shared" si="17"/>
        <v>6</v>
      </c>
      <c r="C18" s="197" t="s">
        <v>1240</v>
      </c>
      <c r="D18" s="198"/>
      <c r="E18" s="703" t="s">
        <v>1241</v>
      </c>
      <c r="F18" s="703">
        <v>6</v>
      </c>
      <c r="G18" s="199">
        <v>4633</v>
      </c>
      <c r="H18" s="736"/>
      <c r="I18" s="199"/>
      <c r="J18" s="736"/>
      <c r="K18" s="199"/>
      <c r="L18" s="199"/>
      <c r="M18" s="736"/>
      <c r="N18" s="199"/>
      <c r="O18" s="736"/>
      <c r="P18" s="199"/>
      <c r="Q18" s="199"/>
      <c r="R18" s="199">
        <f>G18+I18+K18+L18+N18+P18+Q18</f>
        <v>4633</v>
      </c>
      <c r="S18" s="199">
        <v>1</v>
      </c>
      <c r="T18" s="199"/>
      <c r="U18" s="206"/>
      <c r="V18" s="741"/>
      <c r="W18" s="206"/>
      <c r="X18" s="718"/>
      <c r="Y18" s="737"/>
      <c r="Z18" s="199"/>
      <c r="AA18" s="199">
        <f>AH18</f>
        <v>2467</v>
      </c>
      <c r="AB18" s="199">
        <f>(R18+AA18)*S18</f>
        <v>7100</v>
      </c>
      <c r="AC18" s="738">
        <f>AF18</f>
        <v>0</v>
      </c>
      <c r="AD18" s="738">
        <f t="shared" si="1"/>
        <v>7100</v>
      </c>
      <c r="AE18" s="202">
        <f>AB18</f>
        <v>7100</v>
      </c>
      <c r="AF18" s="202">
        <f t="shared" si="2"/>
        <v>0</v>
      </c>
      <c r="AG18" s="738">
        <f t="shared" si="3"/>
        <v>7100</v>
      </c>
      <c r="AH18" s="202">
        <f>AG18-(R18*S18)</f>
        <v>2467</v>
      </c>
      <c r="AI18" s="203">
        <f t="shared" si="4"/>
        <v>4633</v>
      </c>
      <c r="AJ18" s="203">
        <f t="shared" si="5"/>
        <v>0</v>
      </c>
      <c r="AK18" s="203">
        <f t="shared" si="11"/>
        <v>4633</v>
      </c>
      <c r="AL18" s="203">
        <f t="shared" si="12"/>
        <v>0</v>
      </c>
      <c r="AM18" s="203">
        <f>AK18-AI18</f>
        <v>0</v>
      </c>
      <c r="AN18" s="203">
        <f t="shared" si="6"/>
        <v>0</v>
      </c>
      <c r="AO18" s="205">
        <f t="shared" si="13"/>
        <v>0</v>
      </c>
      <c r="AP18" s="205">
        <f t="shared" si="7"/>
        <v>0</v>
      </c>
      <c r="AQ18" s="205">
        <f t="shared" si="8"/>
        <v>2467</v>
      </c>
      <c r="AR18" s="205">
        <f t="shared" si="9"/>
        <v>0</v>
      </c>
      <c r="AS18" s="205">
        <f t="shared" si="10"/>
        <v>0</v>
      </c>
      <c r="AT18" s="209">
        <f t="shared" si="14"/>
        <v>4633</v>
      </c>
      <c r="AU18" s="209">
        <f t="shared" si="14"/>
        <v>0</v>
      </c>
      <c r="AV18" s="203"/>
      <c r="AW18" s="251">
        <f t="shared" si="15"/>
        <v>4633</v>
      </c>
      <c r="AX18" s="251">
        <f>13500*S18-AB18</f>
        <v>6400</v>
      </c>
      <c r="AY18" s="838">
        <f t="shared" si="16"/>
        <v>4633</v>
      </c>
      <c r="AZ18" s="838"/>
      <c r="BA18" s="838">
        <f>AX18</f>
        <v>6400</v>
      </c>
    </row>
    <row r="19" spans="2:53" s="76" customFormat="1">
      <c r="B19" s="703"/>
      <c r="C19" s="180" t="s">
        <v>1736</v>
      </c>
      <c r="D19" s="207"/>
      <c r="E19" s="193"/>
      <c r="F19" s="193"/>
      <c r="G19" s="183">
        <f>SUM(G12:G18)</f>
        <v>59165.015000000007</v>
      </c>
      <c r="H19" s="742"/>
      <c r="I19" s="183">
        <f>SUM(I12:I18)</f>
        <v>5207.8500000000004</v>
      </c>
      <c r="J19" s="742"/>
      <c r="K19" s="183"/>
      <c r="L19" s="183"/>
      <c r="M19" s="742"/>
      <c r="N19" s="183">
        <f>SUM(N12:N18)</f>
        <v>8825.3520000000008</v>
      </c>
      <c r="O19" s="742"/>
      <c r="P19" s="183"/>
      <c r="Q19" s="183"/>
      <c r="R19" s="183">
        <f>SUM(R12:R18)</f>
        <v>73198.225999999995</v>
      </c>
      <c r="S19" s="183">
        <f>SUM(S12:S18)</f>
        <v>6</v>
      </c>
      <c r="T19" s="183">
        <f>SUM(T12:T18)</f>
        <v>0</v>
      </c>
      <c r="U19" s="183"/>
      <c r="V19" s="742"/>
      <c r="W19" s="183"/>
      <c r="X19" s="742"/>
      <c r="Y19" s="742"/>
      <c r="Z19" s="184">
        <f t="shared" ref="Z19:AG19" si="18">SUM(Z12:Z18)</f>
        <v>16368.191099999998</v>
      </c>
      <c r="AA19" s="183">
        <f t="shared" si="18"/>
        <v>2467</v>
      </c>
      <c r="AB19" s="183">
        <f t="shared" si="18"/>
        <v>92033.417099999991</v>
      </c>
      <c r="AC19" s="183">
        <f t="shared" si="18"/>
        <v>5295.3033499999983</v>
      </c>
      <c r="AD19" s="183">
        <f t="shared" si="18"/>
        <v>97328.720449999993</v>
      </c>
      <c r="AE19" s="183">
        <f t="shared" si="18"/>
        <v>96978.093724999999</v>
      </c>
      <c r="AF19" s="183">
        <f t="shared" si="18"/>
        <v>4944.6766250000001</v>
      </c>
      <c r="AG19" s="183">
        <f t="shared" si="18"/>
        <v>42600</v>
      </c>
      <c r="AH19" s="183">
        <f t="shared" ref="AH19:AV19" si="19">SUM(AH12:AH18)</f>
        <v>2467</v>
      </c>
      <c r="AI19" s="183">
        <f t="shared" si="19"/>
        <v>59165.015000000007</v>
      </c>
      <c r="AJ19" s="183">
        <f t="shared" si="19"/>
        <v>0</v>
      </c>
      <c r="AK19" s="183">
        <f t="shared" si="19"/>
        <v>73198.225999999995</v>
      </c>
      <c r="AL19" s="183">
        <f t="shared" si="19"/>
        <v>0</v>
      </c>
      <c r="AM19" s="183">
        <f t="shared" si="19"/>
        <v>14033.210999999999</v>
      </c>
      <c r="AN19" s="183">
        <f t="shared" si="19"/>
        <v>0</v>
      </c>
      <c r="AO19" s="183">
        <f t="shared" si="19"/>
        <v>16368.191099999998</v>
      </c>
      <c r="AP19" s="183">
        <f t="shared" si="19"/>
        <v>0</v>
      </c>
      <c r="AQ19" s="183">
        <f t="shared" si="19"/>
        <v>2467</v>
      </c>
      <c r="AR19" s="183">
        <f t="shared" si="19"/>
        <v>0</v>
      </c>
      <c r="AS19" s="183">
        <f t="shared" si="19"/>
        <v>0</v>
      </c>
      <c r="AT19" s="183">
        <f t="shared" si="19"/>
        <v>73198.225999999995</v>
      </c>
      <c r="AU19" s="183">
        <f t="shared" si="19"/>
        <v>0</v>
      </c>
      <c r="AV19" s="183">
        <f t="shared" si="19"/>
        <v>0</v>
      </c>
      <c r="AW19" s="183">
        <f>SUM(AW12:AW18)</f>
        <v>73198.225999999995</v>
      </c>
      <c r="AX19" s="183">
        <f>SUM(AX12:AX18)</f>
        <v>6400</v>
      </c>
      <c r="AY19" s="839"/>
      <c r="AZ19" s="838"/>
      <c r="BA19" s="839"/>
    </row>
    <row r="20" spans="2:53" s="76" customFormat="1">
      <c r="B20" s="703"/>
      <c r="C20" s="191" t="s">
        <v>1878</v>
      </c>
      <c r="D20" s="192"/>
      <c r="E20" s="193"/>
      <c r="F20" s="193"/>
      <c r="G20" s="193"/>
      <c r="H20" s="731"/>
      <c r="I20" s="193"/>
      <c r="J20" s="731"/>
      <c r="K20" s="193"/>
      <c r="L20" s="193"/>
      <c r="M20" s="731"/>
      <c r="N20" s="193"/>
      <c r="O20" s="731"/>
      <c r="P20" s="193"/>
      <c r="Q20" s="193"/>
      <c r="R20" s="193"/>
      <c r="S20" s="193"/>
      <c r="T20" s="193"/>
      <c r="U20" s="193"/>
      <c r="V20" s="732"/>
      <c r="W20" s="193"/>
      <c r="X20" s="732"/>
      <c r="Y20" s="732"/>
      <c r="Z20" s="193"/>
      <c r="AA20" s="193"/>
      <c r="AB20" s="193"/>
      <c r="AC20" s="195"/>
      <c r="AD20" s="195"/>
      <c r="AE20" s="195"/>
      <c r="AF20" s="195"/>
      <c r="AG20" s="195"/>
      <c r="AH20" s="195"/>
      <c r="AI20" s="203">
        <f>G20*S20</f>
        <v>0</v>
      </c>
      <c r="AJ20" s="203">
        <f t="shared" ref="AJ20:AJ25" si="20">G20*T20</f>
        <v>0</v>
      </c>
      <c r="AK20" s="203">
        <f>R20*S20</f>
        <v>0</v>
      </c>
      <c r="AL20" s="203">
        <f t="shared" ref="AL20:AL26" si="21">R20*T20</f>
        <v>0</v>
      </c>
      <c r="AM20" s="203">
        <f t="shared" ref="AM20:AN26" si="22">AK20-AI20</f>
        <v>0</v>
      </c>
      <c r="AN20" s="203">
        <f t="shared" si="22"/>
        <v>0</v>
      </c>
      <c r="AO20" s="205">
        <f>Z20*S20</f>
        <v>0</v>
      </c>
      <c r="AP20" s="205">
        <f t="shared" ref="AP20:AP25" si="23">Z20*T20</f>
        <v>0</v>
      </c>
      <c r="AQ20" s="205">
        <f t="shared" ref="AQ20:AQ26" si="24">AA20</f>
        <v>0</v>
      </c>
      <c r="AR20" s="205">
        <f>W20*S20</f>
        <v>0</v>
      </c>
      <c r="AS20" s="205">
        <f t="shared" ref="AS20:AS25" si="25">W20*T20</f>
        <v>0</v>
      </c>
      <c r="AT20" s="209"/>
      <c r="AU20" s="209"/>
      <c r="AV20" s="203"/>
      <c r="AW20" s="251"/>
      <c r="AX20" s="251"/>
      <c r="AY20" s="839"/>
      <c r="AZ20" s="838"/>
      <c r="BA20" s="839"/>
    </row>
    <row r="21" spans="2:53" s="76" customFormat="1">
      <c r="B21" s="703">
        <f>B18+1</f>
        <v>7</v>
      </c>
      <c r="C21" s="197" t="s">
        <v>1223</v>
      </c>
      <c r="D21" s="198" t="s">
        <v>1732</v>
      </c>
      <c r="E21" s="703" t="s">
        <v>1821</v>
      </c>
      <c r="F21" s="206">
        <v>15</v>
      </c>
      <c r="G21" s="199">
        <f>G16*90%</f>
        <v>10960.11</v>
      </c>
      <c r="H21" s="736"/>
      <c r="I21" s="199"/>
      <c r="J21" s="736"/>
      <c r="K21" s="199"/>
      <c r="L21" s="199"/>
      <c r="M21" s="737">
        <v>0.15</v>
      </c>
      <c r="N21" s="199">
        <f>(G21+I21)*M21</f>
        <v>1644.0165</v>
      </c>
      <c r="O21" s="737"/>
      <c r="P21" s="199"/>
      <c r="Q21" s="199"/>
      <c r="R21" s="199">
        <f t="shared" ref="R21:R26" si="26">G21+I21+K21+L21+N21+P21+Q21</f>
        <v>12604.1265</v>
      </c>
      <c r="S21" s="199">
        <v>1</v>
      </c>
      <c r="T21" s="206"/>
      <c r="U21" s="206"/>
      <c r="V21" s="741"/>
      <c r="W21" s="206"/>
      <c r="X21" s="718"/>
      <c r="Y21" s="737"/>
      <c r="Z21" s="199"/>
      <c r="AA21" s="199"/>
      <c r="AB21" s="199">
        <f>(R21+Z21)*S21</f>
        <v>12604.1265</v>
      </c>
      <c r="AC21" s="738">
        <f t="shared" ref="AC21:AC26" si="27">AF21</f>
        <v>0</v>
      </c>
      <c r="AD21" s="738">
        <f t="shared" ref="AD21:AD26" si="28">AB21+AC21</f>
        <v>12604.1265</v>
      </c>
      <c r="AE21" s="202">
        <f t="shared" ref="AE21:AE26" si="29">AB21</f>
        <v>12604.1265</v>
      </c>
      <c r="AF21" s="202">
        <f t="shared" ref="AF21:AF26" si="30">AE21-AB21</f>
        <v>0</v>
      </c>
      <c r="AG21" s="738">
        <f>7100*S21</f>
        <v>7100</v>
      </c>
      <c r="AH21" s="202"/>
      <c r="AI21" s="209">
        <f>G21*S21</f>
        <v>10960.11</v>
      </c>
      <c r="AJ21" s="209">
        <f t="shared" si="20"/>
        <v>0</v>
      </c>
      <c r="AK21" s="209">
        <f>R21*S21</f>
        <v>12604.1265</v>
      </c>
      <c r="AL21" s="209">
        <f t="shared" si="21"/>
        <v>0</v>
      </c>
      <c r="AM21" s="209">
        <f t="shared" si="22"/>
        <v>1644.0164999999997</v>
      </c>
      <c r="AN21" s="209">
        <f t="shared" si="22"/>
        <v>0</v>
      </c>
      <c r="AO21" s="209">
        <f>Z21*S21</f>
        <v>0</v>
      </c>
      <c r="AP21" s="209">
        <f t="shared" si="23"/>
        <v>0</v>
      </c>
      <c r="AQ21" s="205">
        <f t="shared" si="24"/>
        <v>0</v>
      </c>
      <c r="AR21" s="205">
        <f>W21*S21</f>
        <v>0</v>
      </c>
      <c r="AS21" s="205">
        <f t="shared" si="25"/>
        <v>0</v>
      </c>
      <c r="AT21" s="209">
        <f t="shared" si="14"/>
        <v>12604.1265</v>
      </c>
      <c r="AU21" s="209">
        <f t="shared" si="14"/>
        <v>0</v>
      </c>
      <c r="AV21" s="209"/>
      <c r="AW21" s="251">
        <f t="shared" si="15"/>
        <v>12604.1265</v>
      </c>
      <c r="AX21" s="251">
        <f>13500*S21-AB21</f>
        <v>895.87349999999969</v>
      </c>
      <c r="AY21" s="838">
        <f t="shared" ref="AY21:AY26" si="31">AW21</f>
        <v>12604.1265</v>
      </c>
      <c r="AZ21" s="838"/>
      <c r="BA21" s="838">
        <f t="shared" ref="BA21:BA26" si="32">AX21</f>
        <v>895.87349999999969</v>
      </c>
    </row>
    <row r="22" spans="2:53" s="76" customFormat="1">
      <c r="B22" s="703">
        <f t="shared" si="17"/>
        <v>8</v>
      </c>
      <c r="C22" s="197" t="s">
        <v>137</v>
      </c>
      <c r="D22" s="198"/>
      <c r="E22" s="703" t="s">
        <v>138</v>
      </c>
      <c r="F22" s="703">
        <v>7</v>
      </c>
      <c r="G22" s="199">
        <v>4920</v>
      </c>
      <c r="H22" s="736"/>
      <c r="I22" s="199"/>
      <c r="J22" s="736"/>
      <c r="K22" s="199"/>
      <c r="L22" s="199"/>
      <c r="M22" s="736"/>
      <c r="N22" s="199"/>
      <c r="O22" s="736"/>
      <c r="P22" s="199"/>
      <c r="Q22" s="199"/>
      <c r="R22" s="199">
        <f t="shared" si="26"/>
        <v>4920</v>
      </c>
      <c r="S22" s="199">
        <v>1</v>
      </c>
      <c r="T22" s="206"/>
      <c r="U22" s="206"/>
      <c r="V22" s="741"/>
      <c r="W22" s="206"/>
      <c r="X22" s="718"/>
      <c r="Y22" s="737"/>
      <c r="Z22" s="199"/>
      <c r="AA22" s="199">
        <f>AH22</f>
        <v>2180</v>
      </c>
      <c r="AB22" s="199">
        <f>(R22+AA22)*S22</f>
        <v>7100</v>
      </c>
      <c r="AC22" s="738">
        <f t="shared" si="27"/>
        <v>0</v>
      </c>
      <c r="AD22" s="738">
        <f t="shared" si="28"/>
        <v>7100</v>
      </c>
      <c r="AE22" s="202">
        <f t="shared" si="29"/>
        <v>7100</v>
      </c>
      <c r="AF22" s="202">
        <f t="shared" si="30"/>
        <v>0</v>
      </c>
      <c r="AG22" s="738">
        <f>7100*S22</f>
        <v>7100</v>
      </c>
      <c r="AH22" s="202">
        <f>AG22-(R22*S22)</f>
        <v>2180</v>
      </c>
      <c r="AI22" s="203">
        <f>G22*S22</f>
        <v>4920</v>
      </c>
      <c r="AJ22" s="203">
        <f t="shared" si="20"/>
        <v>0</v>
      </c>
      <c r="AK22" s="203">
        <f>R22*S22</f>
        <v>4920</v>
      </c>
      <c r="AL22" s="203">
        <f t="shared" si="21"/>
        <v>0</v>
      </c>
      <c r="AM22" s="203">
        <f t="shared" si="22"/>
        <v>0</v>
      </c>
      <c r="AN22" s="203">
        <f t="shared" si="22"/>
        <v>0</v>
      </c>
      <c r="AO22" s="205">
        <f>Z22*S22</f>
        <v>0</v>
      </c>
      <c r="AP22" s="205">
        <f t="shared" si="23"/>
        <v>0</v>
      </c>
      <c r="AQ22" s="205">
        <f t="shared" si="24"/>
        <v>2180</v>
      </c>
      <c r="AR22" s="205">
        <f>W22*S22</f>
        <v>0</v>
      </c>
      <c r="AS22" s="205">
        <f t="shared" si="25"/>
        <v>0</v>
      </c>
      <c r="AT22" s="209">
        <f t="shared" si="14"/>
        <v>4920</v>
      </c>
      <c r="AU22" s="209">
        <f t="shared" si="14"/>
        <v>0</v>
      </c>
      <c r="AV22" s="203"/>
      <c r="AW22" s="251">
        <f t="shared" si="15"/>
        <v>4920</v>
      </c>
      <c r="AX22" s="251">
        <f>13500*S22-AB22</f>
        <v>6400</v>
      </c>
      <c r="AY22" s="838">
        <f t="shared" si="31"/>
        <v>4920</v>
      </c>
      <c r="AZ22" s="838"/>
      <c r="BA22" s="838">
        <f t="shared" si="32"/>
        <v>6400</v>
      </c>
    </row>
    <row r="23" spans="2:53" s="76" customFormat="1">
      <c r="B23" s="703">
        <f t="shared" si="17"/>
        <v>9</v>
      </c>
      <c r="C23" s="197" t="s">
        <v>1224</v>
      </c>
      <c r="D23" s="198"/>
      <c r="E23" s="703" t="s">
        <v>139</v>
      </c>
      <c r="F23" s="703">
        <v>7</v>
      </c>
      <c r="G23" s="199">
        <v>4920</v>
      </c>
      <c r="H23" s="736"/>
      <c r="I23" s="199"/>
      <c r="J23" s="736"/>
      <c r="K23" s="199"/>
      <c r="L23" s="199"/>
      <c r="M23" s="736"/>
      <c r="N23" s="199"/>
      <c r="O23" s="736"/>
      <c r="P23" s="199"/>
      <c r="Q23" s="199"/>
      <c r="R23" s="199">
        <f t="shared" si="26"/>
        <v>4920</v>
      </c>
      <c r="S23" s="199">
        <v>1</v>
      </c>
      <c r="T23" s="206"/>
      <c r="U23" s="206"/>
      <c r="V23" s="741"/>
      <c r="W23" s="206"/>
      <c r="X23" s="718"/>
      <c r="Y23" s="737"/>
      <c r="Z23" s="199"/>
      <c r="AA23" s="199">
        <f>AH23</f>
        <v>2180</v>
      </c>
      <c r="AB23" s="199">
        <f>(R23+AA23)*S23</f>
        <v>7100</v>
      </c>
      <c r="AC23" s="738">
        <f t="shared" si="27"/>
        <v>0</v>
      </c>
      <c r="AD23" s="738">
        <f t="shared" si="28"/>
        <v>7100</v>
      </c>
      <c r="AE23" s="202">
        <f t="shared" si="29"/>
        <v>7100</v>
      </c>
      <c r="AF23" s="202">
        <f t="shared" si="30"/>
        <v>0</v>
      </c>
      <c r="AG23" s="738">
        <f>7100*S23</f>
        <v>7100</v>
      </c>
      <c r="AH23" s="202">
        <f>AG23-(R23*S23)</f>
        <v>2180</v>
      </c>
      <c r="AI23" s="203">
        <f>G23*S23</f>
        <v>4920</v>
      </c>
      <c r="AJ23" s="203">
        <f t="shared" si="20"/>
        <v>0</v>
      </c>
      <c r="AK23" s="203">
        <f>R23*S23</f>
        <v>4920</v>
      </c>
      <c r="AL23" s="203">
        <f t="shared" si="21"/>
        <v>0</v>
      </c>
      <c r="AM23" s="203">
        <f t="shared" si="22"/>
        <v>0</v>
      </c>
      <c r="AN23" s="203">
        <f t="shared" si="22"/>
        <v>0</v>
      </c>
      <c r="AO23" s="205">
        <f>Z23*S23</f>
        <v>0</v>
      </c>
      <c r="AP23" s="205">
        <f t="shared" si="23"/>
        <v>0</v>
      </c>
      <c r="AQ23" s="205">
        <f t="shared" si="24"/>
        <v>2180</v>
      </c>
      <c r="AR23" s="205">
        <f>W23*S23</f>
        <v>0</v>
      </c>
      <c r="AS23" s="205">
        <f t="shared" si="25"/>
        <v>0</v>
      </c>
      <c r="AT23" s="209">
        <f>AK23</f>
        <v>4920</v>
      </c>
      <c r="AU23" s="209">
        <f t="shared" si="14"/>
        <v>0</v>
      </c>
      <c r="AV23" s="203"/>
      <c r="AW23" s="251">
        <f t="shared" si="15"/>
        <v>4920</v>
      </c>
      <c r="AX23" s="251">
        <f>13500*S23-AB23</f>
        <v>6400</v>
      </c>
      <c r="AY23" s="838">
        <f t="shared" si="31"/>
        <v>4920</v>
      </c>
      <c r="AZ23" s="838"/>
      <c r="BA23" s="838">
        <f t="shared" si="32"/>
        <v>6400</v>
      </c>
    </row>
    <row r="24" spans="2:53" s="78" customFormat="1">
      <c r="B24" s="703">
        <f t="shared" si="17"/>
        <v>10</v>
      </c>
      <c r="C24" s="197" t="s">
        <v>1226</v>
      </c>
      <c r="D24" s="198"/>
      <c r="E24" s="703" t="s">
        <v>140</v>
      </c>
      <c r="F24" s="703">
        <v>7</v>
      </c>
      <c r="G24" s="199">
        <v>4920</v>
      </c>
      <c r="H24" s="736"/>
      <c r="I24" s="199"/>
      <c r="J24" s="736"/>
      <c r="K24" s="199"/>
      <c r="L24" s="199"/>
      <c r="M24" s="736"/>
      <c r="N24" s="199"/>
      <c r="O24" s="736"/>
      <c r="P24" s="199"/>
      <c r="Q24" s="199"/>
      <c r="R24" s="199">
        <f t="shared" si="26"/>
        <v>4920</v>
      </c>
      <c r="S24" s="199">
        <v>1</v>
      </c>
      <c r="T24" s="206"/>
      <c r="U24" s="206"/>
      <c r="V24" s="741"/>
      <c r="W24" s="206"/>
      <c r="X24" s="718"/>
      <c r="Y24" s="737"/>
      <c r="Z24" s="199"/>
      <c r="AA24" s="199">
        <f>AH24</f>
        <v>2180</v>
      </c>
      <c r="AB24" s="199">
        <f>(R24+AA24)*S24</f>
        <v>7100</v>
      </c>
      <c r="AC24" s="738">
        <f t="shared" si="27"/>
        <v>0</v>
      </c>
      <c r="AD24" s="738">
        <f t="shared" si="28"/>
        <v>7100</v>
      </c>
      <c r="AE24" s="202">
        <f t="shared" si="29"/>
        <v>7100</v>
      </c>
      <c r="AF24" s="202">
        <f t="shared" si="30"/>
        <v>0</v>
      </c>
      <c r="AG24" s="738">
        <f>7100*S24</f>
        <v>7100</v>
      </c>
      <c r="AH24" s="202">
        <f>AG24-(R24*S24)</f>
        <v>2180</v>
      </c>
      <c r="AI24" s="203">
        <f>G24*S24</f>
        <v>4920</v>
      </c>
      <c r="AJ24" s="203">
        <f t="shared" si="20"/>
        <v>0</v>
      </c>
      <c r="AK24" s="203">
        <f>R24*S24</f>
        <v>4920</v>
      </c>
      <c r="AL24" s="203">
        <f t="shared" si="21"/>
        <v>0</v>
      </c>
      <c r="AM24" s="203">
        <f t="shared" si="22"/>
        <v>0</v>
      </c>
      <c r="AN24" s="203">
        <f t="shared" si="22"/>
        <v>0</v>
      </c>
      <c r="AO24" s="205">
        <f>Z24*S24</f>
        <v>0</v>
      </c>
      <c r="AP24" s="205">
        <f t="shared" si="23"/>
        <v>0</v>
      </c>
      <c r="AQ24" s="205">
        <f t="shared" si="24"/>
        <v>2180</v>
      </c>
      <c r="AR24" s="205">
        <f>W24*S24</f>
        <v>0</v>
      </c>
      <c r="AS24" s="205">
        <f t="shared" si="25"/>
        <v>0</v>
      </c>
      <c r="AT24" s="209">
        <f t="shared" si="14"/>
        <v>4920</v>
      </c>
      <c r="AU24" s="209">
        <f t="shared" si="14"/>
        <v>0</v>
      </c>
      <c r="AV24" s="203"/>
      <c r="AW24" s="251">
        <f t="shared" si="15"/>
        <v>4920</v>
      </c>
      <c r="AX24" s="251">
        <f>13500*S24-AB24</f>
        <v>6400</v>
      </c>
      <c r="AY24" s="838">
        <f t="shared" si="31"/>
        <v>4920</v>
      </c>
      <c r="AZ24" s="838"/>
      <c r="BA24" s="838">
        <f t="shared" si="32"/>
        <v>6400</v>
      </c>
    </row>
    <row r="25" spans="2:53" s="79" customFormat="1">
      <c r="B25" s="703">
        <f t="shared" si="17"/>
        <v>11</v>
      </c>
      <c r="C25" s="197" t="s">
        <v>1226</v>
      </c>
      <c r="D25" s="198" t="s">
        <v>1225</v>
      </c>
      <c r="E25" s="703" t="s">
        <v>1227</v>
      </c>
      <c r="F25" s="703">
        <v>10</v>
      </c>
      <c r="G25" s="199">
        <v>5815</v>
      </c>
      <c r="H25" s="736"/>
      <c r="I25" s="199"/>
      <c r="J25" s="736"/>
      <c r="K25" s="199"/>
      <c r="L25" s="199"/>
      <c r="M25" s="736"/>
      <c r="N25" s="199"/>
      <c r="O25" s="736"/>
      <c r="P25" s="199"/>
      <c r="Q25" s="199"/>
      <c r="R25" s="199">
        <f t="shared" si="26"/>
        <v>5815</v>
      </c>
      <c r="S25" s="199"/>
      <c r="T25" s="206">
        <v>0.5</v>
      </c>
      <c r="U25" s="206"/>
      <c r="V25" s="741"/>
      <c r="W25" s="206"/>
      <c r="X25" s="718"/>
      <c r="Y25" s="737"/>
      <c r="Z25" s="199"/>
      <c r="AA25" s="199">
        <f>AH25</f>
        <v>642.5</v>
      </c>
      <c r="AB25" s="199">
        <f>(R25+Z25+U25+W25)*T25+AA25</f>
        <v>3550</v>
      </c>
      <c r="AC25" s="738">
        <f t="shared" si="27"/>
        <v>0</v>
      </c>
      <c r="AD25" s="738">
        <f t="shared" si="28"/>
        <v>3550</v>
      </c>
      <c r="AE25" s="202">
        <f t="shared" si="29"/>
        <v>3550</v>
      </c>
      <c r="AF25" s="202">
        <f t="shared" si="30"/>
        <v>0</v>
      </c>
      <c r="AG25" s="738">
        <f>7100*T25</f>
        <v>3550</v>
      </c>
      <c r="AH25" s="202">
        <f>AG25-(R25*T25)</f>
        <v>642.5</v>
      </c>
      <c r="AI25" s="203">
        <f>G25*T25</f>
        <v>2907.5</v>
      </c>
      <c r="AJ25" s="203">
        <f t="shared" si="20"/>
        <v>2907.5</v>
      </c>
      <c r="AK25" s="203">
        <f>R25*T25</f>
        <v>2907.5</v>
      </c>
      <c r="AL25" s="203">
        <f t="shared" si="21"/>
        <v>2907.5</v>
      </c>
      <c r="AM25" s="203">
        <f t="shared" si="22"/>
        <v>0</v>
      </c>
      <c r="AN25" s="203">
        <f t="shared" si="22"/>
        <v>0</v>
      </c>
      <c r="AO25" s="205">
        <f>Z25*T25</f>
        <v>0</v>
      </c>
      <c r="AP25" s="205">
        <f t="shared" si="23"/>
        <v>0</v>
      </c>
      <c r="AQ25" s="205">
        <f t="shared" si="24"/>
        <v>642.5</v>
      </c>
      <c r="AR25" s="205">
        <f>W25*T25</f>
        <v>0</v>
      </c>
      <c r="AS25" s="205">
        <f t="shared" si="25"/>
        <v>0</v>
      </c>
      <c r="AT25" s="209">
        <f>AK25</f>
        <v>2907.5</v>
      </c>
      <c r="AU25" s="209">
        <f>AL25</f>
        <v>2907.5</v>
      </c>
      <c r="AV25" s="203"/>
      <c r="AW25" s="251">
        <f>R25*T25</f>
        <v>2907.5</v>
      </c>
      <c r="AX25" s="251">
        <f>13500*T25-AB25</f>
        <v>3200</v>
      </c>
      <c r="AY25" s="838">
        <f t="shared" si="31"/>
        <v>2907.5</v>
      </c>
      <c r="AZ25" s="838"/>
      <c r="BA25" s="838">
        <f t="shared" si="32"/>
        <v>3200</v>
      </c>
    </row>
    <row r="26" spans="2:53" s="76" customFormat="1">
      <c r="B26" s="703">
        <f t="shared" si="17"/>
        <v>12</v>
      </c>
      <c r="C26" s="197" t="s">
        <v>1239</v>
      </c>
      <c r="D26" s="198"/>
      <c r="E26" s="703" t="s">
        <v>1227</v>
      </c>
      <c r="F26" s="703">
        <v>4</v>
      </c>
      <c r="G26" s="199">
        <v>4058</v>
      </c>
      <c r="H26" s="736"/>
      <c r="I26" s="199"/>
      <c r="J26" s="736"/>
      <c r="K26" s="199"/>
      <c r="L26" s="199"/>
      <c r="M26" s="736"/>
      <c r="N26" s="199"/>
      <c r="O26" s="736"/>
      <c r="P26" s="199"/>
      <c r="Q26" s="199"/>
      <c r="R26" s="199">
        <f t="shared" si="26"/>
        <v>4058</v>
      </c>
      <c r="S26" s="199">
        <v>1</v>
      </c>
      <c r="T26" s="199"/>
      <c r="U26" s="206"/>
      <c r="V26" s="741"/>
      <c r="W26" s="206"/>
      <c r="X26" s="718"/>
      <c r="Y26" s="737"/>
      <c r="Z26" s="199"/>
      <c r="AA26" s="199">
        <f>AH26</f>
        <v>3042</v>
      </c>
      <c r="AB26" s="199">
        <f>(R26+AA26)*S26</f>
        <v>7100</v>
      </c>
      <c r="AC26" s="738">
        <f t="shared" si="27"/>
        <v>0</v>
      </c>
      <c r="AD26" s="738">
        <f t="shared" si="28"/>
        <v>7100</v>
      </c>
      <c r="AE26" s="202">
        <f t="shared" si="29"/>
        <v>7100</v>
      </c>
      <c r="AF26" s="202">
        <f t="shared" si="30"/>
        <v>0</v>
      </c>
      <c r="AG26" s="738">
        <f>7100*S26</f>
        <v>7100</v>
      </c>
      <c r="AH26" s="202">
        <f>AG26-(R26*S26)</f>
        <v>3042</v>
      </c>
      <c r="AI26" s="203">
        <f>G26*S26</f>
        <v>4058</v>
      </c>
      <c r="AJ26" s="203">
        <f>G26*S26</f>
        <v>4058</v>
      </c>
      <c r="AK26" s="203">
        <f>R26*S26</f>
        <v>4058</v>
      </c>
      <c r="AL26" s="203">
        <f t="shared" si="21"/>
        <v>0</v>
      </c>
      <c r="AM26" s="203">
        <f t="shared" si="22"/>
        <v>0</v>
      </c>
      <c r="AN26" s="203">
        <f t="shared" si="22"/>
        <v>-4058</v>
      </c>
      <c r="AO26" s="205">
        <f>Z26*S26</f>
        <v>0</v>
      </c>
      <c r="AP26" s="205">
        <f>Z26*S26</f>
        <v>0</v>
      </c>
      <c r="AQ26" s="205">
        <f t="shared" si="24"/>
        <v>3042</v>
      </c>
      <c r="AR26" s="205">
        <f>W26*S26</f>
        <v>0</v>
      </c>
      <c r="AS26" s="205">
        <f>W26*S26</f>
        <v>0</v>
      </c>
      <c r="AT26" s="209">
        <f>AK26</f>
        <v>4058</v>
      </c>
      <c r="AU26" s="209">
        <f>AL26</f>
        <v>0</v>
      </c>
      <c r="AV26" s="203"/>
      <c r="AW26" s="251">
        <f>R26*S26</f>
        <v>4058</v>
      </c>
      <c r="AX26" s="251">
        <f>13500*S26-AB26</f>
        <v>6400</v>
      </c>
      <c r="AY26" s="838">
        <f t="shared" si="31"/>
        <v>4058</v>
      </c>
      <c r="AZ26" s="838"/>
      <c r="BA26" s="838">
        <f t="shared" si="32"/>
        <v>6400</v>
      </c>
    </row>
    <row r="27" spans="2:53" s="76" customFormat="1">
      <c r="B27" s="703"/>
      <c r="C27" s="180" t="s">
        <v>1736</v>
      </c>
      <c r="D27" s="198"/>
      <c r="E27" s="703"/>
      <c r="F27" s="703"/>
      <c r="G27" s="210">
        <f>SUM(G21:G26)</f>
        <v>35593.11</v>
      </c>
      <c r="H27" s="743"/>
      <c r="I27" s="210"/>
      <c r="J27" s="743"/>
      <c r="K27" s="210"/>
      <c r="L27" s="210"/>
      <c r="M27" s="743"/>
      <c r="N27" s="210">
        <f>SUM(N21:N26)</f>
        <v>1644.0165</v>
      </c>
      <c r="O27" s="743"/>
      <c r="P27" s="210"/>
      <c r="Q27" s="210"/>
      <c r="R27" s="210">
        <f>SUM(R21:R26)</f>
        <v>37237.126499999998</v>
      </c>
      <c r="S27" s="210">
        <f>SUM(S21:S26)</f>
        <v>5</v>
      </c>
      <c r="T27" s="210">
        <f>SUM(T21:T26)</f>
        <v>0.5</v>
      </c>
      <c r="U27" s="210"/>
      <c r="V27" s="743"/>
      <c r="W27" s="210"/>
      <c r="X27" s="743"/>
      <c r="Y27" s="743"/>
      <c r="Z27" s="210"/>
      <c r="AA27" s="210">
        <f>SUM(AA21:AA26)</f>
        <v>10224.5</v>
      </c>
      <c r="AB27" s="210">
        <f>SUM(AB21:AB26)</f>
        <v>44554.126499999998</v>
      </c>
      <c r="AC27" s="210">
        <f t="shared" ref="AC27:AV27" si="33">SUM(AC21:AC26)</f>
        <v>0</v>
      </c>
      <c r="AD27" s="210">
        <f>SUM(AD21:AD26)</f>
        <v>44554.126499999998</v>
      </c>
      <c r="AE27" s="210">
        <f t="shared" si="33"/>
        <v>44554.126499999998</v>
      </c>
      <c r="AF27" s="210">
        <f t="shared" si="33"/>
        <v>0</v>
      </c>
      <c r="AG27" s="210">
        <f t="shared" si="33"/>
        <v>39050</v>
      </c>
      <c r="AH27" s="210">
        <f t="shared" si="33"/>
        <v>10224.5</v>
      </c>
      <c r="AI27" s="210">
        <f t="shared" si="33"/>
        <v>32685.61</v>
      </c>
      <c r="AJ27" s="210">
        <f t="shared" si="33"/>
        <v>6965.5</v>
      </c>
      <c r="AK27" s="210">
        <f t="shared" si="33"/>
        <v>34329.626499999998</v>
      </c>
      <c r="AL27" s="210">
        <f t="shared" si="33"/>
        <v>2907.5</v>
      </c>
      <c r="AM27" s="210">
        <f t="shared" si="33"/>
        <v>1644.0164999999997</v>
      </c>
      <c r="AN27" s="210">
        <f t="shared" si="33"/>
        <v>-4058</v>
      </c>
      <c r="AO27" s="210">
        <f t="shared" si="33"/>
        <v>0</v>
      </c>
      <c r="AP27" s="210">
        <f t="shared" si="33"/>
        <v>0</v>
      </c>
      <c r="AQ27" s="210">
        <f t="shared" si="33"/>
        <v>10224.5</v>
      </c>
      <c r="AR27" s="210">
        <f t="shared" si="33"/>
        <v>0</v>
      </c>
      <c r="AS27" s="210">
        <f t="shared" si="33"/>
        <v>0</v>
      </c>
      <c r="AT27" s="210">
        <f t="shared" si="33"/>
        <v>34329.626499999998</v>
      </c>
      <c r="AU27" s="210">
        <f t="shared" si="33"/>
        <v>2907.5</v>
      </c>
      <c r="AV27" s="210">
        <f t="shared" si="33"/>
        <v>0</v>
      </c>
      <c r="AW27" s="210">
        <f>SUM(AW21:AW26)</f>
        <v>34329.626499999998</v>
      </c>
      <c r="AX27" s="210">
        <f>SUM(AX21:AX26)</f>
        <v>29695.873500000002</v>
      </c>
      <c r="AY27" s="839"/>
      <c r="AZ27" s="838"/>
      <c r="BA27" s="839"/>
    </row>
    <row r="28" spans="2:53" s="76" customFormat="1" ht="61.5">
      <c r="B28" s="703"/>
      <c r="C28" s="191" t="s">
        <v>1183</v>
      </c>
      <c r="D28" s="192"/>
      <c r="E28" s="193"/>
      <c r="F28" s="193"/>
      <c r="G28" s="193"/>
      <c r="H28" s="731"/>
      <c r="I28" s="193"/>
      <c r="J28" s="731"/>
      <c r="K28" s="193"/>
      <c r="L28" s="193"/>
      <c r="M28" s="731"/>
      <c r="N28" s="193"/>
      <c r="O28" s="731"/>
      <c r="P28" s="193"/>
      <c r="Q28" s="193"/>
      <c r="R28" s="193"/>
      <c r="S28" s="193"/>
      <c r="T28" s="193"/>
      <c r="U28" s="193"/>
      <c r="V28" s="732"/>
      <c r="W28" s="193"/>
      <c r="X28" s="732"/>
      <c r="Y28" s="732"/>
      <c r="Z28" s="193"/>
      <c r="AA28" s="193"/>
      <c r="AB28" s="193"/>
      <c r="AC28" s="195"/>
      <c r="AD28" s="195"/>
      <c r="AE28" s="195"/>
      <c r="AF28" s="195"/>
      <c r="AG28" s="195"/>
      <c r="AH28" s="195"/>
      <c r="AI28" s="203"/>
      <c r="AJ28" s="203"/>
      <c r="AK28" s="203"/>
      <c r="AL28" s="203"/>
      <c r="AM28" s="203"/>
      <c r="AN28" s="203"/>
      <c r="AO28" s="205"/>
      <c r="AP28" s="205"/>
      <c r="AQ28" s="205"/>
      <c r="AR28" s="205"/>
      <c r="AS28" s="205"/>
      <c r="AT28" s="209"/>
      <c r="AU28" s="209"/>
      <c r="AV28" s="203"/>
      <c r="AW28" s="251"/>
      <c r="AX28" s="251"/>
      <c r="AY28" s="839"/>
      <c r="AZ28" s="838"/>
      <c r="BA28" s="839"/>
    </row>
    <row r="29" spans="2:53" s="76" customFormat="1">
      <c r="B29" s="703">
        <f>B26+1</f>
        <v>13</v>
      </c>
      <c r="C29" s="211" t="s">
        <v>1232</v>
      </c>
      <c r="D29" s="198"/>
      <c r="E29" s="206" t="s">
        <v>202</v>
      </c>
      <c r="F29" s="703">
        <v>7</v>
      </c>
      <c r="G29" s="199">
        <v>4920</v>
      </c>
      <c r="H29" s="736"/>
      <c r="I29" s="199"/>
      <c r="J29" s="736"/>
      <c r="K29" s="199"/>
      <c r="L29" s="199"/>
      <c r="M29" s="736"/>
      <c r="N29" s="199"/>
      <c r="O29" s="736"/>
      <c r="P29" s="199"/>
      <c r="Q29" s="199"/>
      <c r="R29" s="199">
        <f>G29+I29+K29+L29+N29+P29+Q29</f>
        <v>4920</v>
      </c>
      <c r="S29" s="199">
        <v>1</v>
      </c>
      <c r="T29" s="206"/>
      <c r="U29" s="206"/>
      <c r="V29" s="741"/>
      <c r="W29" s="206"/>
      <c r="X29" s="718"/>
      <c r="Y29" s="737"/>
      <c r="Z29" s="199"/>
      <c r="AA29" s="199">
        <f>AH29</f>
        <v>2180</v>
      </c>
      <c r="AB29" s="199">
        <f>(R29+AA29)*S29</f>
        <v>7100</v>
      </c>
      <c r="AC29" s="738">
        <f>AF29</f>
        <v>0</v>
      </c>
      <c r="AD29" s="738">
        <f>AB29+AC29</f>
        <v>7100</v>
      </c>
      <c r="AE29" s="202">
        <f>AB29</f>
        <v>7100</v>
      </c>
      <c r="AF29" s="202">
        <f>AE29-AB29</f>
        <v>0</v>
      </c>
      <c r="AG29" s="738">
        <f>7100*S29</f>
        <v>7100</v>
      </c>
      <c r="AH29" s="202">
        <f>AG29-(R29*S29)</f>
        <v>2180</v>
      </c>
      <c r="AI29" s="203">
        <f>G29*S29</f>
        <v>4920</v>
      </c>
      <c r="AJ29" s="203">
        <f>G29*T29</f>
        <v>0</v>
      </c>
      <c r="AK29" s="203">
        <f>R29*S29</f>
        <v>4920</v>
      </c>
      <c r="AL29" s="203">
        <f>R29*T29</f>
        <v>0</v>
      </c>
      <c r="AM29" s="203">
        <f t="shared" ref="AM29:AN31" si="34">AK29-AI29</f>
        <v>0</v>
      </c>
      <c r="AN29" s="203">
        <f t="shared" si="34"/>
        <v>0</v>
      </c>
      <c r="AO29" s="205">
        <f>Z29*S29</f>
        <v>0</v>
      </c>
      <c r="AP29" s="205">
        <f>Z29*T29</f>
        <v>0</v>
      </c>
      <c r="AQ29" s="205">
        <f>AA29</f>
        <v>2180</v>
      </c>
      <c r="AR29" s="205">
        <f>W29*S29</f>
        <v>0</v>
      </c>
      <c r="AS29" s="205">
        <f>W29*T29</f>
        <v>0</v>
      </c>
      <c r="AT29" s="209">
        <f>AK29</f>
        <v>4920</v>
      </c>
      <c r="AU29" s="209">
        <f>AL29</f>
        <v>0</v>
      </c>
      <c r="AV29" s="203"/>
      <c r="AW29" s="251">
        <f>R29*S29</f>
        <v>4920</v>
      </c>
      <c r="AX29" s="251">
        <f>13500*S29-AB29</f>
        <v>6400</v>
      </c>
      <c r="AY29" s="838">
        <f>AW29</f>
        <v>4920</v>
      </c>
      <c r="AZ29" s="838"/>
      <c r="BA29" s="838">
        <f>AX29</f>
        <v>6400</v>
      </c>
    </row>
    <row r="30" spans="2:53" s="76" customFormat="1" ht="58.5">
      <c r="B30" s="703">
        <f t="shared" si="17"/>
        <v>14</v>
      </c>
      <c r="C30" s="197" t="s">
        <v>1184</v>
      </c>
      <c r="D30" s="212" t="s">
        <v>1186</v>
      </c>
      <c r="E30" s="206" t="s">
        <v>1187</v>
      </c>
      <c r="F30" s="703">
        <v>8</v>
      </c>
      <c r="G30" s="199">
        <v>5240</v>
      </c>
      <c r="H30" s="736"/>
      <c r="I30" s="199"/>
      <c r="J30" s="736"/>
      <c r="K30" s="199"/>
      <c r="L30" s="199"/>
      <c r="M30" s="736"/>
      <c r="N30" s="199"/>
      <c r="O30" s="736"/>
      <c r="P30" s="206"/>
      <c r="Q30" s="206"/>
      <c r="R30" s="199">
        <f>G30+I30+K30+L30+N30+P30+Q30</f>
        <v>5240</v>
      </c>
      <c r="S30" s="199"/>
      <c r="T30" s="199">
        <v>0.5</v>
      </c>
      <c r="U30" s="206"/>
      <c r="V30" s="741"/>
      <c r="W30" s="206"/>
      <c r="X30" s="718">
        <v>16</v>
      </c>
      <c r="Y30" s="737">
        <v>0.2</v>
      </c>
      <c r="Z30" s="199">
        <f>R30*Y30</f>
        <v>1048</v>
      </c>
      <c r="AA30" s="199">
        <f>AH30</f>
        <v>406</v>
      </c>
      <c r="AB30" s="199">
        <f>(R30+Z30)*T30+AA30</f>
        <v>3550</v>
      </c>
      <c r="AC30" s="738">
        <f>AF30</f>
        <v>3200</v>
      </c>
      <c r="AD30" s="738">
        <f>AB30+AC30</f>
        <v>6750</v>
      </c>
      <c r="AE30" s="202">
        <f>13500*T30</f>
        <v>6750</v>
      </c>
      <c r="AF30" s="202">
        <f>AE30-AB30</f>
        <v>3200</v>
      </c>
      <c r="AG30" s="738">
        <f>7100*T30</f>
        <v>3550</v>
      </c>
      <c r="AH30" s="202">
        <f>AG30-(R30+Z30)*T30</f>
        <v>406</v>
      </c>
      <c r="AI30" s="203">
        <f>G30*T30</f>
        <v>2620</v>
      </c>
      <c r="AJ30" s="203">
        <f>G30*T30</f>
        <v>2620</v>
      </c>
      <c r="AK30" s="203">
        <f>R30*S30</f>
        <v>0</v>
      </c>
      <c r="AL30" s="203">
        <f>R30*T30</f>
        <v>2620</v>
      </c>
      <c r="AM30" s="203">
        <f t="shared" si="34"/>
        <v>-2620</v>
      </c>
      <c r="AN30" s="203">
        <f t="shared" si="34"/>
        <v>0</v>
      </c>
      <c r="AO30" s="205">
        <f>Z30*T30</f>
        <v>524</v>
      </c>
      <c r="AP30" s="205">
        <f>Z30*T30</f>
        <v>524</v>
      </c>
      <c r="AQ30" s="205">
        <f>AA30</f>
        <v>406</v>
      </c>
      <c r="AR30" s="205">
        <f>W30*T30</f>
        <v>0</v>
      </c>
      <c r="AS30" s="205">
        <f>W30*T30</f>
        <v>0</v>
      </c>
      <c r="AT30" s="209">
        <f>AK30</f>
        <v>0</v>
      </c>
      <c r="AU30" s="209">
        <f t="shared" si="14"/>
        <v>2620</v>
      </c>
      <c r="AV30" s="203"/>
      <c r="AW30" s="251">
        <f>R30*T30</f>
        <v>2620</v>
      </c>
      <c r="AX30" s="251"/>
      <c r="AY30" s="838">
        <f>AW30</f>
        <v>2620</v>
      </c>
      <c r="AZ30" s="838"/>
      <c r="BA30" s="838">
        <f>AX30</f>
        <v>0</v>
      </c>
    </row>
    <row r="31" spans="2:53" s="76" customFormat="1">
      <c r="B31" s="703">
        <f t="shared" si="17"/>
        <v>15</v>
      </c>
      <c r="C31" s="197" t="s">
        <v>1219</v>
      </c>
      <c r="D31" s="212"/>
      <c r="E31" s="703" t="s">
        <v>1220</v>
      </c>
      <c r="F31" s="206">
        <v>5</v>
      </c>
      <c r="G31" s="199">
        <v>4345</v>
      </c>
      <c r="H31" s="736"/>
      <c r="I31" s="199"/>
      <c r="J31" s="736"/>
      <c r="K31" s="199"/>
      <c r="L31" s="199"/>
      <c r="M31" s="736"/>
      <c r="N31" s="199"/>
      <c r="O31" s="736"/>
      <c r="P31" s="199"/>
      <c r="Q31" s="199"/>
      <c r="R31" s="199">
        <f>G31+I31+K31+L31+N31+P31+Q31</f>
        <v>4345</v>
      </c>
      <c r="S31" s="199">
        <v>1</v>
      </c>
      <c r="T31" s="199"/>
      <c r="U31" s="199"/>
      <c r="V31" s="736"/>
      <c r="W31" s="199"/>
      <c r="X31" s="718"/>
      <c r="Y31" s="737"/>
      <c r="Z31" s="199"/>
      <c r="AA31" s="199">
        <f>AH31</f>
        <v>2755</v>
      </c>
      <c r="AB31" s="199">
        <f>(R31+Z31+U31+W31)*S31+AA31</f>
        <v>7100</v>
      </c>
      <c r="AC31" s="738">
        <f>AF31</f>
        <v>0</v>
      </c>
      <c r="AD31" s="738">
        <f>AB31+AC31</f>
        <v>7100</v>
      </c>
      <c r="AE31" s="744">
        <f>AB31</f>
        <v>7100</v>
      </c>
      <c r="AF31" s="202">
        <f>AE31-AB31</f>
        <v>0</v>
      </c>
      <c r="AG31" s="738">
        <f>7100*S31</f>
        <v>7100</v>
      </c>
      <c r="AH31" s="202">
        <f>AG31-(R31*S31)</f>
        <v>2755</v>
      </c>
      <c r="AI31" s="203">
        <f>G31*S31</f>
        <v>4345</v>
      </c>
      <c r="AJ31" s="203">
        <f>G31*T31</f>
        <v>0</v>
      </c>
      <c r="AK31" s="203">
        <f>R31*S31</f>
        <v>4345</v>
      </c>
      <c r="AL31" s="203">
        <f>R31*T31</f>
        <v>0</v>
      </c>
      <c r="AM31" s="203">
        <f t="shared" si="34"/>
        <v>0</v>
      </c>
      <c r="AN31" s="203">
        <f t="shared" si="34"/>
        <v>0</v>
      </c>
      <c r="AO31" s="205">
        <f>Z31*S31</f>
        <v>0</v>
      </c>
      <c r="AP31" s="205">
        <f>Z31*T31</f>
        <v>0</v>
      </c>
      <c r="AQ31" s="205">
        <f>AA31</f>
        <v>2755</v>
      </c>
      <c r="AR31" s="205">
        <f>W31*S31</f>
        <v>0</v>
      </c>
      <c r="AS31" s="205">
        <f>W31*S31</f>
        <v>0</v>
      </c>
      <c r="AT31" s="209">
        <f t="shared" si="14"/>
        <v>4345</v>
      </c>
      <c r="AU31" s="209">
        <f>AL31</f>
        <v>0</v>
      </c>
      <c r="AV31" s="203"/>
      <c r="AW31" s="251">
        <f>R31*S31</f>
        <v>4345</v>
      </c>
      <c r="AX31" s="251"/>
      <c r="AY31" s="838">
        <f>AW31</f>
        <v>4345</v>
      </c>
      <c r="AZ31" s="838"/>
      <c r="BA31" s="838">
        <f>AX31</f>
        <v>0</v>
      </c>
    </row>
    <row r="32" spans="2:53" s="76" customFormat="1">
      <c r="B32" s="703"/>
      <c r="C32" s="180" t="s">
        <v>1736</v>
      </c>
      <c r="D32" s="207"/>
      <c r="E32" s="193"/>
      <c r="F32" s="193"/>
      <c r="G32" s="183">
        <f>SUM(G29:G31)</f>
        <v>14505</v>
      </c>
      <c r="H32" s="742"/>
      <c r="I32" s="183"/>
      <c r="J32" s="742"/>
      <c r="K32" s="183"/>
      <c r="L32" s="183"/>
      <c r="M32" s="742"/>
      <c r="N32" s="183"/>
      <c r="O32" s="742"/>
      <c r="P32" s="183"/>
      <c r="Q32" s="183"/>
      <c r="R32" s="183">
        <f>SUM(R29:R31)</f>
        <v>14505</v>
      </c>
      <c r="S32" s="183">
        <f>SUM(S29:S31)</f>
        <v>2</v>
      </c>
      <c r="T32" s="183">
        <f>SUM(T29:T31)</f>
        <v>0.5</v>
      </c>
      <c r="U32" s="183"/>
      <c r="V32" s="742"/>
      <c r="W32" s="183"/>
      <c r="X32" s="742"/>
      <c r="Y32" s="742"/>
      <c r="Z32" s="183">
        <f>SUM(Z29:Z31)</f>
        <v>1048</v>
      </c>
      <c r="AA32" s="183">
        <f>SUM(AA29:AA31)</f>
        <v>5341</v>
      </c>
      <c r="AB32" s="183">
        <f>SUM(AB29:AB31)</f>
        <v>17750</v>
      </c>
      <c r="AC32" s="183">
        <f>SUM(AC29:AC31)</f>
        <v>3200</v>
      </c>
      <c r="AD32" s="183">
        <f>SUM(AD29:AD31)</f>
        <v>20950</v>
      </c>
      <c r="AE32" s="183">
        <f t="shared" ref="AE32:AV32" si="35">SUM(AE29:AE31)</f>
        <v>20950</v>
      </c>
      <c r="AF32" s="183">
        <f t="shared" si="35"/>
        <v>3200</v>
      </c>
      <c r="AG32" s="183">
        <f t="shared" si="35"/>
        <v>17750</v>
      </c>
      <c r="AH32" s="183">
        <f t="shared" si="35"/>
        <v>5341</v>
      </c>
      <c r="AI32" s="183">
        <f t="shared" si="35"/>
        <v>11885</v>
      </c>
      <c r="AJ32" s="183">
        <f t="shared" si="35"/>
        <v>2620</v>
      </c>
      <c r="AK32" s="183">
        <f t="shared" si="35"/>
        <v>9265</v>
      </c>
      <c r="AL32" s="183">
        <f t="shared" si="35"/>
        <v>2620</v>
      </c>
      <c r="AM32" s="183">
        <f t="shared" si="35"/>
        <v>-2620</v>
      </c>
      <c r="AN32" s="183">
        <f t="shared" si="35"/>
        <v>0</v>
      </c>
      <c r="AO32" s="183">
        <f t="shared" si="35"/>
        <v>524</v>
      </c>
      <c r="AP32" s="183">
        <f t="shared" si="35"/>
        <v>524</v>
      </c>
      <c r="AQ32" s="183">
        <f t="shared" si="35"/>
        <v>5341</v>
      </c>
      <c r="AR32" s="183">
        <f t="shared" si="35"/>
        <v>0</v>
      </c>
      <c r="AS32" s="183">
        <f t="shared" si="35"/>
        <v>0</v>
      </c>
      <c r="AT32" s="183">
        <f t="shared" si="35"/>
        <v>9265</v>
      </c>
      <c r="AU32" s="183">
        <f t="shared" si="35"/>
        <v>2620</v>
      </c>
      <c r="AV32" s="183">
        <f t="shared" si="35"/>
        <v>0</v>
      </c>
      <c r="AW32" s="183">
        <f>SUM(AW29:AW31)</f>
        <v>11885</v>
      </c>
      <c r="AX32" s="183">
        <f>SUM(AX29:AX31)</f>
        <v>6400</v>
      </c>
      <c r="AY32" s="839"/>
      <c r="AZ32" s="838"/>
      <c r="BA32" s="839"/>
    </row>
    <row r="33" spans="2:53" s="76" customFormat="1" ht="61.5">
      <c r="B33" s="703"/>
      <c r="C33" s="191" t="s">
        <v>1879</v>
      </c>
      <c r="D33" s="207"/>
      <c r="E33" s="193"/>
      <c r="F33" s="193"/>
      <c r="G33" s="183"/>
      <c r="H33" s="742"/>
      <c r="I33" s="183"/>
      <c r="J33" s="742"/>
      <c r="K33" s="183"/>
      <c r="L33" s="183"/>
      <c r="M33" s="742"/>
      <c r="N33" s="183"/>
      <c r="O33" s="742"/>
      <c r="P33" s="183"/>
      <c r="Q33" s="183"/>
      <c r="R33" s="183"/>
      <c r="S33" s="183"/>
      <c r="T33" s="183"/>
      <c r="U33" s="183"/>
      <c r="V33" s="742"/>
      <c r="W33" s="183"/>
      <c r="X33" s="742"/>
      <c r="Y33" s="742"/>
      <c r="Z33" s="183"/>
      <c r="AA33" s="183"/>
      <c r="AB33" s="183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9"/>
      <c r="AU33" s="209"/>
      <c r="AV33" s="208"/>
      <c r="AW33" s="221"/>
      <c r="AX33" s="251"/>
      <c r="AY33" s="839"/>
      <c r="AZ33" s="838"/>
      <c r="BA33" s="839"/>
    </row>
    <row r="34" spans="2:53" s="76" customFormat="1">
      <c r="B34" s="703">
        <f>B31+1</f>
        <v>16</v>
      </c>
      <c r="C34" s="197" t="s">
        <v>1242</v>
      </c>
      <c r="D34" s="198"/>
      <c r="E34" s="703" t="s">
        <v>1377</v>
      </c>
      <c r="F34" s="703">
        <v>7</v>
      </c>
      <c r="G34" s="199">
        <v>4920</v>
      </c>
      <c r="H34" s="736"/>
      <c r="I34" s="199"/>
      <c r="J34" s="736"/>
      <c r="K34" s="199"/>
      <c r="L34" s="199"/>
      <c r="M34" s="736"/>
      <c r="N34" s="199"/>
      <c r="O34" s="736"/>
      <c r="P34" s="199"/>
      <c r="Q34" s="199"/>
      <c r="R34" s="199">
        <f t="shared" ref="R34:R41" si="36">G34+I34+K34+L34+N34+P34+Q34</f>
        <v>4920</v>
      </c>
      <c r="S34" s="199">
        <v>1</v>
      </c>
      <c r="T34" s="206"/>
      <c r="U34" s="206"/>
      <c r="V34" s="741"/>
      <c r="W34" s="206"/>
      <c r="X34" s="718"/>
      <c r="Y34" s="737"/>
      <c r="Z34" s="199"/>
      <c r="AA34" s="199">
        <f t="shared" ref="AA34:AA41" si="37">AH34</f>
        <v>2180</v>
      </c>
      <c r="AB34" s="199">
        <f>(R34+AA34)*S34</f>
        <v>7100</v>
      </c>
      <c r="AC34" s="738">
        <f t="shared" ref="AC34:AC41" si="38">AF34</f>
        <v>0</v>
      </c>
      <c r="AD34" s="738">
        <f t="shared" ref="AD34:AD41" si="39">AB34+AC34</f>
        <v>7100</v>
      </c>
      <c r="AE34" s="202">
        <f t="shared" ref="AE34:AE41" si="40">AB34</f>
        <v>7100</v>
      </c>
      <c r="AF34" s="202">
        <f t="shared" ref="AF34:AF41" si="41">AE34-AB34</f>
        <v>0</v>
      </c>
      <c r="AG34" s="738">
        <f>7100*S34</f>
        <v>7100</v>
      </c>
      <c r="AH34" s="202">
        <f>AG34-(R34*S34)</f>
        <v>2180</v>
      </c>
      <c r="AI34" s="203">
        <f>G34*S34</f>
        <v>4920</v>
      </c>
      <c r="AJ34" s="203">
        <f>G34*T34</f>
        <v>0</v>
      </c>
      <c r="AK34" s="203">
        <f>R34*S34</f>
        <v>4920</v>
      </c>
      <c r="AL34" s="203">
        <f>R34*T34</f>
        <v>0</v>
      </c>
      <c r="AM34" s="203">
        <f t="shared" ref="AM34:AN41" si="42">AK34-AI34</f>
        <v>0</v>
      </c>
      <c r="AN34" s="203">
        <f t="shared" si="42"/>
        <v>0</v>
      </c>
      <c r="AO34" s="205">
        <f t="shared" ref="AO34:AO40" si="43">Z34*S34</f>
        <v>0</v>
      </c>
      <c r="AP34" s="205">
        <f t="shared" ref="AP34:AP39" si="44">Z34*T34</f>
        <v>0</v>
      </c>
      <c r="AQ34" s="205">
        <f t="shared" ref="AQ34:AQ40" si="45">AA34</f>
        <v>2180</v>
      </c>
      <c r="AR34" s="205">
        <f t="shared" ref="AR34:AR40" si="46">W34*S34</f>
        <v>0</v>
      </c>
      <c r="AS34" s="205">
        <f t="shared" ref="AS34:AS40" si="47">W34*T34</f>
        <v>0</v>
      </c>
      <c r="AT34" s="209">
        <f t="shared" si="14"/>
        <v>4920</v>
      </c>
      <c r="AU34" s="209">
        <f t="shared" si="14"/>
        <v>0</v>
      </c>
      <c r="AV34" s="203"/>
      <c r="AW34" s="251">
        <f>R34*S34</f>
        <v>4920</v>
      </c>
      <c r="AX34" s="251">
        <f>13500*S34-AB34</f>
        <v>6400</v>
      </c>
      <c r="AY34" s="838">
        <f t="shared" ref="AY34:AY41" si="48">AW34</f>
        <v>4920</v>
      </c>
      <c r="AZ34" s="838"/>
      <c r="BA34" s="838">
        <f t="shared" ref="BA34:BA41" si="49">AX34</f>
        <v>6400</v>
      </c>
    </row>
    <row r="35" spans="2:53" s="76" customFormat="1">
      <c r="B35" s="703">
        <f t="shared" si="17"/>
        <v>17</v>
      </c>
      <c r="C35" s="197" t="s">
        <v>1244</v>
      </c>
      <c r="D35" s="198" t="s">
        <v>1245</v>
      </c>
      <c r="E35" s="703" t="s">
        <v>1246</v>
      </c>
      <c r="F35" s="703">
        <v>10</v>
      </c>
      <c r="G35" s="199">
        <v>5815</v>
      </c>
      <c r="H35" s="736"/>
      <c r="I35" s="199"/>
      <c r="J35" s="736"/>
      <c r="K35" s="199"/>
      <c r="L35" s="199"/>
      <c r="M35" s="736"/>
      <c r="N35" s="199"/>
      <c r="O35" s="736"/>
      <c r="P35" s="199"/>
      <c r="Q35" s="199"/>
      <c r="R35" s="199">
        <f t="shared" si="36"/>
        <v>5815</v>
      </c>
      <c r="S35" s="199">
        <v>1</v>
      </c>
      <c r="T35" s="206"/>
      <c r="U35" s="206"/>
      <c r="V35" s="741"/>
      <c r="W35" s="206"/>
      <c r="X35" s="718"/>
      <c r="Y35" s="737"/>
      <c r="Z35" s="199"/>
      <c r="AA35" s="199">
        <f t="shared" si="37"/>
        <v>1285</v>
      </c>
      <c r="AB35" s="199">
        <f>(R35+Z35+U35+W35)*S35+AA35</f>
        <v>7100</v>
      </c>
      <c r="AC35" s="738">
        <f t="shared" si="38"/>
        <v>0</v>
      </c>
      <c r="AD35" s="738">
        <f t="shared" si="39"/>
        <v>7100</v>
      </c>
      <c r="AE35" s="202">
        <f t="shared" si="40"/>
        <v>7100</v>
      </c>
      <c r="AF35" s="202">
        <f t="shared" si="41"/>
        <v>0</v>
      </c>
      <c r="AG35" s="738">
        <f>7100*S35</f>
        <v>7100</v>
      </c>
      <c r="AH35" s="202">
        <f>AG35-(R35*S35)</f>
        <v>1285</v>
      </c>
      <c r="AI35" s="203">
        <f>G35*S35</f>
        <v>5815</v>
      </c>
      <c r="AJ35" s="203">
        <f>G35*T35</f>
        <v>0</v>
      </c>
      <c r="AK35" s="203">
        <f>R35*S35</f>
        <v>5815</v>
      </c>
      <c r="AL35" s="203">
        <f t="shared" ref="AL35:AL41" si="50">R35*T35</f>
        <v>0</v>
      </c>
      <c r="AM35" s="203">
        <f t="shared" si="42"/>
        <v>0</v>
      </c>
      <c r="AN35" s="203">
        <f t="shared" si="42"/>
        <v>0</v>
      </c>
      <c r="AO35" s="205">
        <f t="shared" si="43"/>
        <v>0</v>
      </c>
      <c r="AP35" s="205">
        <f t="shared" si="44"/>
        <v>0</v>
      </c>
      <c r="AQ35" s="205">
        <f t="shared" si="45"/>
        <v>1285</v>
      </c>
      <c r="AR35" s="205">
        <f t="shared" si="46"/>
        <v>0</v>
      </c>
      <c r="AS35" s="205">
        <f t="shared" si="47"/>
        <v>0</v>
      </c>
      <c r="AT35" s="209">
        <f t="shared" si="14"/>
        <v>5815</v>
      </c>
      <c r="AU35" s="209">
        <f t="shared" si="14"/>
        <v>0</v>
      </c>
      <c r="AV35" s="203"/>
      <c r="AW35" s="251">
        <f>R35*S35</f>
        <v>5815</v>
      </c>
      <c r="AX35" s="251">
        <f>13500*S35-AB35</f>
        <v>6400</v>
      </c>
      <c r="AY35" s="838">
        <f t="shared" si="48"/>
        <v>5815</v>
      </c>
      <c r="AZ35" s="838"/>
      <c r="BA35" s="838">
        <f t="shared" si="49"/>
        <v>6400</v>
      </c>
    </row>
    <row r="36" spans="2:53" s="76" customFormat="1">
      <c r="B36" s="703">
        <f t="shared" si="17"/>
        <v>18</v>
      </c>
      <c r="C36" s="197" t="s">
        <v>1384</v>
      </c>
      <c r="D36" s="198"/>
      <c r="E36" s="703" t="s">
        <v>1241</v>
      </c>
      <c r="F36" s="703">
        <v>7</v>
      </c>
      <c r="G36" s="199">
        <v>4920</v>
      </c>
      <c r="H36" s="736"/>
      <c r="I36" s="199"/>
      <c r="J36" s="736"/>
      <c r="K36" s="199"/>
      <c r="L36" s="199"/>
      <c r="M36" s="736"/>
      <c r="N36" s="199"/>
      <c r="O36" s="736"/>
      <c r="P36" s="199"/>
      <c r="Q36" s="199"/>
      <c r="R36" s="199">
        <f t="shared" si="36"/>
        <v>4920</v>
      </c>
      <c r="S36" s="199"/>
      <c r="T36" s="199">
        <v>0.5</v>
      </c>
      <c r="U36" s="206"/>
      <c r="V36" s="741"/>
      <c r="W36" s="206"/>
      <c r="X36" s="718"/>
      <c r="Y36" s="737"/>
      <c r="Z36" s="199"/>
      <c r="AA36" s="199">
        <f t="shared" si="37"/>
        <v>1090</v>
      </c>
      <c r="AB36" s="199">
        <f>(R36+Z36+U36+W36)*T36+AA36</f>
        <v>3550</v>
      </c>
      <c r="AC36" s="738">
        <f t="shared" si="38"/>
        <v>0</v>
      </c>
      <c r="AD36" s="738">
        <f t="shared" si="39"/>
        <v>3550</v>
      </c>
      <c r="AE36" s="202">
        <f t="shared" si="40"/>
        <v>3550</v>
      </c>
      <c r="AF36" s="202">
        <f t="shared" si="41"/>
        <v>0</v>
      </c>
      <c r="AG36" s="738">
        <f>7100*T36</f>
        <v>3550</v>
      </c>
      <c r="AH36" s="202">
        <f>AG36-(R36*T36)</f>
        <v>1090</v>
      </c>
      <c r="AI36" s="203">
        <f>G36*T36</f>
        <v>2460</v>
      </c>
      <c r="AJ36" s="203">
        <f>G36*T36</f>
        <v>2460</v>
      </c>
      <c r="AK36" s="203">
        <f>R36*T36</f>
        <v>2460</v>
      </c>
      <c r="AL36" s="203">
        <f t="shared" si="50"/>
        <v>2460</v>
      </c>
      <c r="AM36" s="203">
        <f t="shared" si="42"/>
        <v>0</v>
      </c>
      <c r="AN36" s="203">
        <f t="shared" si="42"/>
        <v>0</v>
      </c>
      <c r="AO36" s="205">
        <f t="shared" si="43"/>
        <v>0</v>
      </c>
      <c r="AP36" s="205">
        <f t="shared" si="44"/>
        <v>0</v>
      </c>
      <c r="AQ36" s="205">
        <f t="shared" si="45"/>
        <v>1090</v>
      </c>
      <c r="AR36" s="205">
        <f t="shared" si="46"/>
        <v>0</v>
      </c>
      <c r="AS36" s="205">
        <f t="shared" si="47"/>
        <v>0</v>
      </c>
      <c r="AT36" s="209">
        <f t="shared" si="14"/>
        <v>2460</v>
      </c>
      <c r="AU36" s="209">
        <f t="shared" si="14"/>
        <v>2460</v>
      </c>
      <c r="AV36" s="203"/>
      <c r="AW36" s="251">
        <f>R36*T36</f>
        <v>2460</v>
      </c>
      <c r="AX36" s="251">
        <f>13500*T36-AB36</f>
        <v>3200</v>
      </c>
      <c r="AY36" s="838">
        <f t="shared" si="48"/>
        <v>2460</v>
      </c>
      <c r="AZ36" s="838"/>
      <c r="BA36" s="838">
        <f t="shared" si="49"/>
        <v>3200</v>
      </c>
    </row>
    <row r="37" spans="2:53" s="76" customFormat="1">
      <c r="B37" s="703">
        <f t="shared" si="17"/>
        <v>19</v>
      </c>
      <c r="C37" s="197" t="s">
        <v>1384</v>
      </c>
      <c r="D37" s="198"/>
      <c r="E37" s="703" t="s">
        <v>1741</v>
      </c>
      <c r="F37" s="703">
        <v>7</v>
      </c>
      <c r="G37" s="199">
        <v>4920</v>
      </c>
      <c r="H37" s="736"/>
      <c r="I37" s="199"/>
      <c r="J37" s="736"/>
      <c r="K37" s="199"/>
      <c r="L37" s="199"/>
      <c r="M37" s="736"/>
      <c r="N37" s="199"/>
      <c r="O37" s="736"/>
      <c r="P37" s="199"/>
      <c r="Q37" s="199"/>
      <c r="R37" s="199">
        <f t="shared" si="36"/>
        <v>4920</v>
      </c>
      <c r="S37" s="199">
        <v>0.5</v>
      </c>
      <c r="T37" s="199"/>
      <c r="U37" s="206"/>
      <c r="V37" s="741"/>
      <c r="W37" s="206"/>
      <c r="X37" s="718"/>
      <c r="Y37" s="737"/>
      <c r="Z37" s="199"/>
      <c r="AA37" s="199">
        <f t="shared" si="37"/>
        <v>1090</v>
      </c>
      <c r="AB37" s="199">
        <f>(R37+Z37+U37+W37)*S37+AA37</f>
        <v>3550</v>
      </c>
      <c r="AC37" s="738">
        <f t="shared" si="38"/>
        <v>0</v>
      </c>
      <c r="AD37" s="738">
        <f t="shared" si="39"/>
        <v>3550</v>
      </c>
      <c r="AE37" s="202">
        <f t="shared" si="40"/>
        <v>3550</v>
      </c>
      <c r="AF37" s="202">
        <f t="shared" si="41"/>
        <v>0</v>
      </c>
      <c r="AG37" s="738">
        <f>7100*S37</f>
        <v>3550</v>
      </c>
      <c r="AH37" s="202">
        <f>AG37-(R37*S37)</f>
        <v>1090</v>
      </c>
      <c r="AI37" s="203">
        <f>G37*S37</f>
        <v>2460</v>
      </c>
      <c r="AJ37" s="203">
        <f>G37*S37</f>
        <v>2460</v>
      </c>
      <c r="AK37" s="203">
        <f>R37*S37</f>
        <v>2460</v>
      </c>
      <c r="AL37" s="203">
        <f t="shared" si="50"/>
        <v>0</v>
      </c>
      <c r="AM37" s="203">
        <f t="shared" si="42"/>
        <v>0</v>
      </c>
      <c r="AN37" s="203">
        <f t="shared" si="42"/>
        <v>-2460</v>
      </c>
      <c r="AO37" s="205">
        <f t="shared" si="43"/>
        <v>0</v>
      </c>
      <c r="AP37" s="205">
        <f t="shared" si="44"/>
        <v>0</v>
      </c>
      <c r="AQ37" s="205">
        <f t="shared" si="45"/>
        <v>1090</v>
      </c>
      <c r="AR37" s="205">
        <f t="shared" si="46"/>
        <v>0</v>
      </c>
      <c r="AS37" s="205">
        <f t="shared" si="47"/>
        <v>0</v>
      </c>
      <c r="AT37" s="209">
        <f t="shared" si="14"/>
        <v>2460</v>
      </c>
      <c r="AU37" s="209">
        <f t="shared" si="14"/>
        <v>0</v>
      </c>
      <c r="AV37" s="203"/>
      <c r="AW37" s="251">
        <f>R37*S37</f>
        <v>2460</v>
      </c>
      <c r="AX37" s="251">
        <f>13500*S37-AB37</f>
        <v>3200</v>
      </c>
      <c r="AY37" s="838">
        <f t="shared" si="48"/>
        <v>2460</v>
      </c>
      <c r="AZ37" s="838"/>
      <c r="BA37" s="838">
        <f t="shared" si="49"/>
        <v>3200</v>
      </c>
    </row>
    <row r="38" spans="2:53" s="78" customFormat="1">
      <c r="B38" s="703">
        <f t="shared" si="17"/>
        <v>20</v>
      </c>
      <c r="C38" s="197" t="s">
        <v>1247</v>
      </c>
      <c r="D38" s="198"/>
      <c r="E38" s="703" t="s">
        <v>1741</v>
      </c>
      <c r="F38" s="703">
        <v>7</v>
      </c>
      <c r="G38" s="199">
        <v>4920</v>
      </c>
      <c r="H38" s="736"/>
      <c r="I38" s="199"/>
      <c r="J38" s="736"/>
      <c r="K38" s="199"/>
      <c r="L38" s="199"/>
      <c r="M38" s="736"/>
      <c r="N38" s="199"/>
      <c r="O38" s="736"/>
      <c r="P38" s="199"/>
      <c r="Q38" s="199"/>
      <c r="R38" s="199">
        <f t="shared" si="36"/>
        <v>4920</v>
      </c>
      <c r="S38" s="199">
        <v>1</v>
      </c>
      <c r="T38" s="199"/>
      <c r="U38" s="206"/>
      <c r="V38" s="741"/>
      <c r="W38" s="206"/>
      <c r="X38" s="718"/>
      <c r="Y38" s="737"/>
      <c r="Z38" s="199"/>
      <c r="AA38" s="199">
        <f t="shared" si="37"/>
        <v>2180</v>
      </c>
      <c r="AB38" s="199">
        <f>(R38+AA38)*S38</f>
        <v>7100</v>
      </c>
      <c r="AC38" s="738">
        <f t="shared" si="38"/>
        <v>0</v>
      </c>
      <c r="AD38" s="738">
        <f t="shared" si="39"/>
        <v>7100</v>
      </c>
      <c r="AE38" s="202">
        <f t="shared" si="40"/>
        <v>7100</v>
      </c>
      <c r="AF38" s="202">
        <f t="shared" si="41"/>
        <v>0</v>
      </c>
      <c r="AG38" s="738">
        <f>7100*S38</f>
        <v>7100</v>
      </c>
      <c r="AH38" s="202">
        <f>AG38-(R38*S38)</f>
        <v>2180</v>
      </c>
      <c r="AI38" s="203">
        <f>G38*S38</f>
        <v>4920</v>
      </c>
      <c r="AJ38" s="203">
        <f>G38*T38</f>
        <v>0</v>
      </c>
      <c r="AK38" s="203">
        <f>R38*S38</f>
        <v>4920</v>
      </c>
      <c r="AL38" s="203">
        <f t="shared" si="50"/>
        <v>0</v>
      </c>
      <c r="AM38" s="203">
        <f t="shared" si="42"/>
        <v>0</v>
      </c>
      <c r="AN38" s="203">
        <f t="shared" si="42"/>
        <v>0</v>
      </c>
      <c r="AO38" s="205">
        <f t="shared" si="43"/>
        <v>0</v>
      </c>
      <c r="AP38" s="205">
        <f t="shared" si="44"/>
        <v>0</v>
      </c>
      <c r="AQ38" s="205">
        <f t="shared" si="45"/>
        <v>2180</v>
      </c>
      <c r="AR38" s="205">
        <f t="shared" si="46"/>
        <v>0</v>
      </c>
      <c r="AS38" s="205">
        <f t="shared" si="47"/>
        <v>0</v>
      </c>
      <c r="AT38" s="209">
        <f t="shared" si="14"/>
        <v>4920</v>
      </c>
      <c r="AU38" s="209">
        <f t="shared" si="14"/>
        <v>0</v>
      </c>
      <c r="AV38" s="203"/>
      <c r="AW38" s="251">
        <f>R38*S38</f>
        <v>4920</v>
      </c>
      <c r="AX38" s="251">
        <f>13500*S38-AB38</f>
        <v>6400</v>
      </c>
      <c r="AY38" s="838">
        <f t="shared" si="48"/>
        <v>4920</v>
      </c>
      <c r="AZ38" s="838"/>
      <c r="BA38" s="838">
        <f t="shared" si="49"/>
        <v>6400</v>
      </c>
    </row>
    <row r="39" spans="2:53" s="76" customFormat="1">
      <c r="B39" s="703">
        <f t="shared" si="17"/>
        <v>21</v>
      </c>
      <c r="C39" s="197" t="s">
        <v>1378</v>
      </c>
      <c r="D39" s="198"/>
      <c r="E39" s="703" t="s">
        <v>1187</v>
      </c>
      <c r="F39" s="703">
        <v>10</v>
      </c>
      <c r="G39" s="199">
        <v>5815</v>
      </c>
      <c r="H39" s="736"/>
      <c r="I39" s="199"/>
      <c r="J39" s="736"/>
      <c r="K39" s="199"/>
      <c r="L39" s="199"/>
      <c r="M39" s="736"/>
      <c r="N39" s="199"/>
      <c r="O39" s="736"/>
      <c r="P39" s="199"/>
      <c r="Q39" s="199"/>
      <c r="R39" s="199">
        <f t="shared" si="36"/>
        <v>5815</v>
      </c>
      <c r="S39" s="199">
        <v>0.5</v>
      </c>
      <c r="T39" s="199"/>
      <c r="U39" s="206"/>
      <c r="V39" s="741"/>
      <c r="W39" s="206"/>
      <c r="X39" s="718"/>
      <c r="Y39" s="737"/>
      <c r="Z39" s="199"/>
      <c r="AA39" s="199">
        <f t="shared" si="37"/>
        <v>642.5</v>
      </c>
      <c r="AB39" s="199">
        <f>(R39+Z39+U39+W39)*S39+AA39</f>
        <v>3550</v>
      </c>
      <c r="AC39" s="738">
        <f t="shared" si="38"/>
        <v>0</v>
      </c>
      <c r="AD39" s="738">
        <f t="shared" si="39"/>
        <v>3550</v>
      </c>
      <c r="AE39" s="202">
        <f t="shared" si="40"/>
        <v>3550</v>
      </c>
      <c r="AF39" s="202">
        <f t="shared" si="41"/>
        <v>0</v>
      </c>
      <c r="AG39" s="738">
        <f>7100*S39</f>
        <v>3550</v>
      </c>
      <c r="AH39" s="202">
        <f>AG39-(R39*S39)</f>
        <v>642.5</v>
      </c>
      <c r="AI39" s="203">
        <f>G39*S39</f>
        <v>2907.5</v>
      </c>
      <c r="AJ39" s="203">
        <f>G39*T39</f>
        <v>0</v>
      </c>
      <c r="AK39" s="203">
        <f>R39*S39</f>
        <v>2907.5</v>
      </c>
      <c r="AL39" s="203">
        <f t="shared" si="50"/>
        <v>0</v>
      </c>
      <c r="AM39" s="203">
        <f>AK39-AI39</f>
        <v>0</v>
      </c>
      <c r="AN39" s="203">
        <f t="shared" si="42"/>
        <v>0</v>
      </c>
      <c r="AO39" s="205">
        <f t="shared" si="43"/>
        <v>0</v>
      </c>
      <c r="AP39" s="205">
        <f t="shared" si="44"/>
        <v>0</v>
      </c>
      <c r="AQ39" s="205">
        <f t="shared" si="45"/>
        <v>642.5</v>
      </c>
      <c r="AR39" s="205">
        <f t="shared" si="46"/>
        <v>0</v>
      </c>
      <c r="AS39" s="205">
        <f t="shared" si="47"/>
        <v>0</v>
      </c>
      <c r="AT39" s="209">
        <f t="shared" si="14"/>
        <v>2907.5</v>
      </c>
      <c r="AU39" s="209">
        <f>AL39</f>
        <v>0</v>
      </c>
      <c r="AV39" s="203"/>
      <c r="AW39" s="251">
        <f>R39*S39</f>
        <v>2907.5</v>
      </c>
      <c r="AX39" s="251">
        <f>13500*S39-AB39</f>
        <v>3200</v>
      </c>
      <c r="AY39" s="838">
        <f t="shared" si="48"/>
        <v>2907.5</v>
      </c>
      <c r="AZ39" s="838"/>
      <c r="BA39" s="838">
        <f t="shared" si="49"/>
        <v>3200</v>
      </c>
    </row>
    <row r="40" spans="2:53" s="76" customFormat="1">
      <c r="B40" s="703">
        <f t="shared" si="17"/>
        <v>22</v>
      </c>
      <c r="C40" s="197" t="s">
        <v>1233</v>
      </c>
      <c r="D40" s="198" t="s">
        <v>1234</v>
      </c>
      <c r="E40" s="703" t="s">
        <v>1235</v>
      </c>
      <c r="F40" s="703">
        <v>11</v>
      </c>
      <c r="G40" s="199">
        <v>6294</v>
      </c>
      <c r="H40" s="736"/>
      <c r="I40" s="199"/>
      <c r="J40" s="736"/>
      <c r="K40" s="199"/>
      <c r="L40" s="199"/>
      <c r="M40" s="736"/>
      <c r="N40" s="199"/>
      <c r="O40" s="736"/>
      <c r="P40" s="199"/>
      <c r="Q40" s="199"/>
      <c r="R40" s="199">
        <f t="shared" si="36"/>
        <v>6294</v>
      </c>
      <c r="S40" s="199">
        <v>0.5</v>
      </c>
      <c r="T40" s="206"/>
      <c r="U40" s="206"/>
      <c r="V40" s="741"/>
      <c r="W40" s="206"/>
      <c r="X40" s="718"/>
      <c r="Y40" s="737"/>
      <c r="Z40" s="199"/>
      <c r="AA40" s="199">
        <f t="shared" si="37"/>
        <v>403</v>
      </c>
      <c r="AB40" s="199">
        <f>(R40)*S40+AA40</f>
        <v>3550</v>
      </c>
      <c r="AC40" s="738">
        <f t="shared" si="38"/>
        <v>0</v>
      </c>
      <c r="AD40" s="738">
        <f t="shared" si="39"/>
        <v>3550</v>
      </c>
      <c r="AE40" s="202">
        <f t="shared" si="40"/>
        <v>3550</v>
      </c>
      <c r="AF40" s="202">
        <f t="shared" si="41"/>
        <v>0</v>
      </c>
      <c r="AG40" s="738">
        <f>7100*S40</f>
        <v>3550</v>
      </c>
      <c r="AH40" s="202">
        <f>AG40-(R40*S40)</f>
        <v>403</v>
      </c>
      <c r="AI40" s="203">
        <f>G40*S40</f>
        <v>3147</v>
      </c>
      <c r="AJ40" s="203">
        <f>G40*S40</f>
        <v>3147</v>
      </c>
      <c r="AK40" s="203">
        <f>R40*S40</f>
        <v>3147</v>
      </c>
      <c r="AL40" s="203">
        <f t="shared" si="50"/>
        <v>0</v>
      </c>
      <c r="AM40" s="203">
        <f>AK40-AI40</f>
        <v>0</v>
      </c>
      <c r="AN40" s="203">
        <f t="shared" si="42"/>
        <v>-3147</v>
      </c>
      <c r="AO40" s="205">
        <f t="shared" si="43"/>
        <v>0</v>
      </c>
      <c r="AP40" s="205">
        <f>Z40*S40</f>
        <v>0</v>
      </c>
      <c r="AQ40" s="205">
        <f t="shared" si="45"/>
        <v>403</v>
      </c>
      <c r="AR40" s="205">
        <f t="shared" si="46"/>
        <v>0</v>
      </c>
      <c r="AS40" s="205">
        <f t="shared" si="47"/>
        <v>0</v>
      </c>
      <c r="AT40" s="209">
        <f t="shared" si="14"/>
        <v>3147</v>
      </c>
      <c r="AU40" s="209">
        <f t="shared" si="14"/>
        <v>0</v>
      </c>
      <c r="AV40" s="203"/>
      <c r="AW40" s="251">
        <f>R40*S40</f>
        <v>3147</v>
      </c>
      <c r="AX40" s="251">
        <f>13500*S40-AB40</f>
        <v>3200</v>
      </c>
      <c r="AY40" s="838">
        <f t="shared" si="48"/>
        <v>3147</v>
      </c>
      <c r="AZ40" s="838"/>
      <c r="BA40" s="838">
        <f t="shared" si="49"/>
        <v>3200</v>
      </c>
    </row>
    <row r="41" spans="2:53" s="76" customFormat="1" ht="37.5" customHeight="1">
      <c r="B41" s="703">
        <f t="shared" si="17"/>
        <v>23</v>
      </c>
      <c r="C41" s="197" t="s">
        <v>141</v>
      </c>
      <c r="D41" s="198"/>
      <c r="E41" s="703" t="s">
        <v>1377</v>
      </c>
      <c r="F41" s="703">
        <v>7</v>
      </c>
      <c r="G41" s="199">
        <v>4920</v>
      </c>
      <c r="H41" s="736"/>
      <c r="I41" s="199"/>
      <c r="J41" s="736"/>
      <c r="K41" s="199"/>
      <c r="L41" s="199"/>
      <c r="M41" s="736"/>
      <c r="N41" s="199"/>
      <c r="O41" s="736"/>
      <c r="P41" s="199"/>
      <c r="Q41" s="199"/>
      <c r="R41" s="199">
        <f t="shared" si="36"/>
        <v>4920</v>
      </c>
      <c r="S41" s="199"/>
      <c r="T41" s="206">
        <v>0.5</v>
      </c>
      <c r="U41" s="206"/>
      <c r="V41" s="741"/>
      <c r="W41" s="206"/>
      <c r="X41" s="718"/>
      <c r="Y41" s="737"/>
      <c r="Z41" s="199"/>
      <c r="AA41" s="199">
        <f t="shared" si="37"/>
        <v>1090</v>
      </c>
      <c r="AB41" s="199">
        <f>(R41+Z41+U41+W41)*T41+AA41</f>
        <v>3550</v>
      </c>
      <c r="AC41" s="738">
        <f t="shared" si="38"/>
        <v>0</v>
      </c>
      <c r="AD41" s="738">
        <f t="shared" si="39"/>
        <v>3550</v>
      </c>
      <c r="AE41" s="202">
        <f t="shared" si="40"/>
        <v>3550</v>
      </c>
      <c r="AF41" s="202">
        <f t="shared" si="41"/>
        <v>0</v>
      </c>
      <c r="AG41" s="738">
        <f>7100*T41</f>
        <v>3550</v>
      </c>
      <c r="AH41" s="202">
        <f>AG41-(R41*T41)</f>
        <v>1090</v>
      </c>
      <c r="AI41" s="203">
        <f>G41*T41</f>
        <v>2460</v>
      </c>
      <c r="AJ41" s="203">
        <f>G41*T41</f>
        <v>2460</v>
      </c>
      <c r="AK41" s="203">
        <f>R41*T41</f>
        <v>2460</v>
      </c>
      <c r="AL41" s="203">
        <f t="shared" si="50"/>
        <v>2460</v>
      </c>
      <c r="AM41" s="203">
        <f>AK41-AI41</f>
        <v>0</v>
      </c>
      <c r="AN41" s="203">
        <f t="shared" si="42"/>
        <v>0</v>
      </c>
      <c r="AO41" s="205">
        <f>Z41*T41</f>
        <v>0</v>
      </c>
      <c r="AP41" s="205"/>
      <c r="AQ41" s="205"/>
      <c r="AR41" s="205"/>
      <c r="AS41" s="205"/>
      <c r="AT41" s="209"/>
      <c r="AU41" s="209">
        <f t="shared" si="14"/>
        <v>2460</v>
      </c>
      <c r="AV41" s="203"/>
      <c r="AW41" s="251">
        <f>R41*T41</f>
        <v>2460</v>
      </c>
      <c r="AX41" s="251">
        <f>13500*T41-AB41</f>
        <v>3200</v>
      </c>
      <c r="AY41" s="838">
        <f t="shared" si="48"/>
        <v>2460</v>
      </c>
      <c r="AZ41" s="838"/>
      <c r="BA41" s="838">
        <f t="shared" si="49"/>
        <v>3200</v>
      </c>
    </row>
    <row r="42" spans="2:53" s="76" customFormat="1">
      <c r="B42" s="703"/>
      <c r="C42" s="180" t="s">
        <v>1736</v>
      </c>
      <c r="D42" s="207"/>
      <c r="E42" s="193"/>
      <c r="F42" s="193"/>
      <c r="G42" s="183">
        <f>SUM(G34:G41)</f>
        <v>42524</v>
      </c>
      <c r="H42" s="742"/>
      <c r="I42" s="183"/>
      <c r="J42" s="742"/>
      <c r="K42" s="183"/>
      <c r="L42" s="183"/>
      <c r="M42" s="742"/>
      <c r="N42" s="183"/>
      <c r="O42" s="742"/>
      <c r="P42" s="183"/>
      <c r="Q42" s="183"/>
      <c r="R42" s="183">
        <f>SUM(R34:R41)</f>
        <v>42524</v>
      </c>
      <c r="S42" s="183">
        <f>SUM(S34:S41)</f>
        <v>4.5</v>
      </c>
      <c r="T42" s="183">
        <f>SUM(T34:T41)</f>
        <v>1</v>
      </c>
      <c r="U42" s="183"/>
      <c r="V42" s="742"/>
      <c r="W42" s="183"/>
      <c r="X42" s="742"/>
      <c r="Y42" s="742"/>
      <c r="Z42" s="183"/>
      <c r="AA42" s="183">
        <f>SUM(AA34:AA41)</f>
        <v>9960.5</v>
      </c>
      <c r="AB42" s="183">
        <f>SUM(AB34:AB41)</f>
        <v>39050</v>
      </c>
      <c r="AC42" s="183">
        <f>SUM(AC34:AC41)</f>
        <v>0</v>
      </c>
      <c r="AD42" s="183">
        <f>SUM(AD34:AD41)</f>
        <v>39050</v>
      </c>
      <c r="AE42" s="183">
        <f>SUM(AE34:AE41)</f>
        <v>39050</v>
      </c>
      <c r="AF42" s="183">
        <f t="shared" ref="AF42:AN42" si="51">SUM(AF34:AF41)</f>
        <v>0</v>
      </c>
      <c r="AG42" s="183">
        <f>SUM(AG34:AG41)</f>
        <v>39050</v>
      </c>
      <c r="AH42" s="183">
        <f t="shared" si="51"/>
        <v>9960.5</v>
      </c>
      <c r="AI42" s="183">
        <f t="shared" si="51"/>
        <v>29089.5</v>
      </c>
      <c r="AJ42" s="183">
        <f t="shared" si="51"/>
        <v>10527</v>
      </c>
      <c r="AK42" s="183">
        <f t="shared" si="51"/>
        <v>29089.5</v>
      </c>
      <c r="AL42" s="183">
        <f t="shared" si="51"/>
        <v>4920</v>
      </c>
      <c r="AM42" s="183">
        <f t="shared" si="51"/>
        <v>0</v>
      </c>
      <c r="AN42" s="183">
        <f t="shared" si="51"/>
        <v>-5607</v>
      </c>
      <c r="AO42" s="183">
        <f t="shared" ref="AO42:AT42" si="52">SUM(AO34:AO40)</f>
        <v>0</v>
      </c>
      <c r="AP42" s="183">
        <f t="shared" si="52"/>
        <v>0</v>
      </c>
      <c r="AQ42" s="183">
        <f t="shared" si="52"/>
        <v>8870.5</v>
      </c>
      <c r="AR42" s="183">
        <f t="shared" si="52"/>
        <v>0</v>
      </c>
      <c r="AS42" s="183">
        <f t="shared" si="52"/>
        <v>0</v>
      </c>
      <c r="AT42" s="183">
        <f t="shared" si="52"/>
        <v>26629.5</v>
      </c>
      <c r="AU42" s="183">
        <f>SUM(AU34:AU41)</f>
        <v>4920</v>
      </c>
      <c r="AV42" s="183">
        <f>SUM(AV34:AV40)</f>
        <v>0</v>
      </c>
      <c r="AW42" s="183">
        <f>SUM(AW34:AW41)</f>
        <v>29089.5</v>
      </c>
      <c r="AX42" s="183">
        <f>SUM(AX34:AX41)</f>
        <v>35200</v>
      </c>
      <c r="AY42" s="839"/>
      <c r="AZ42" s="838"/>
      <c r="BA42" s="839"/>
    </row>
    <row r="43" spans="2:53" s="76" customFormat="1">
      <c r="B43" s="703"/>
      <c r="C43" s="193" t="s">
        <v>1880</v>
      </c>
      <c r="D43" s="207"/>
      <c r="E43" s="193"/>
      <c r="F43" s="193"/>
      <c r="G43" s="183"/>
      <c r="H43" s="742"/>
      <c r="I43" s="183"/>
      <c r="J43" s="742"/>
      <c r="K43" s="183"/>
      <c r="L43" s="183"/>
      <c r="M43" s="742"/>
      <c r="N43" s="183"/>
      <c r="O43" s="742"/>
      <c r="P43" s="183"/>
      <c r="Q43" s="183"/>
      <c r="R43" s="183"/>
      <c r="S43" s="183"/>
      <c r="T43" s="183"/>
      <c r="U43" s="183"/>
      <c r="V43" s="742"/>
      <c r="W43" s="183"/>
      <c r="X43" s="742"/>
      <c r="Y43" s="742"/>
      <c r="Z43" s="183"/>
      <c r="AA43" s="183"/>
      <c r="AB43" s="183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9"/>
      <c r="AU43" s="209"/>
      <c r="AV43" s="208"/>
      <c r="AW43" s="221"/>
      <c r="AX43" s="251"/>
      <c r="AY43" s="839"/>
      <c r="AZ43" s="838"/>
      <c r="BA43" s="839"/>
    </row>
    <row r="44" spans="2:53" s="76" customFormat="1">
      <c r="B44" s="703">
        <v>24</v>
      </c>
      <c r="C44" s="197" t="s">
        <v>1228</v>
      </c>
      <c r="D44" s="198"/>
      <c r="E44" s="703" t="s">
        <v>1229</v>
      </c>
      <c r="F44" s="703">
        <v>7</v>
      </c>
      <c r="G44" s="199">
        <v>4920</v>
      </c>
      <c r="H44" s="736"/>
      <c r="I44" s="199"/>
      <c r="J44" s="736"/>
      <c r="K44" s="199"/>
      <c r="L44" s="199"/>
      <c r="M44" s="736"/>
      <c r="N44" s="199"/>
      <c r="O44" s="736"/>
      <c r="P44" s="199"/>
      <c r="Q44" s="199"/>
      <c r="R44" s="199">
        <f>G44+I44+K44+L44+N44+P44+Q44</f>
        <v>4920</v>
      </c>
      <c r="S44" s="199">
        <v>1</v>
      </c>
      <c r="T44" s="206"/>
      <c r="U44" s="206"/>
      <c r="V44" s="741"/>
      <c r="W44" s="206"/>
      <c r="X44" s="718"/>
      <c r="Y44" s="737"/>
      <c r="Z44" s="199"/>
      <c r="AA44" s="199">
        <f>AH44</f>
        <v>2180</v>
      </c>
      <c r="AB44" s="199">
        <f>(R44+AA44)*S44</f>
        <v>7100</v>
      </c>
      <c r="AC44" s="738">
        <f>AF44</f>
        <v>0</v>
      </c>
      <c r="AD44" s="738">
        <f>AB44+AC44</f>
        <v>7100</v>
      </c>
      <c r="AE44" s="202">
        <f>AB44</f>
        <v>7100</v>
      </c>
      <c r="AF44" s="202">
        <f>AE44-AB44</f>
        <v>0</v>
      </c>
      <c r="AG44" s="738">
        <f>7100*S44</f>
        <v>7100</v>
      </c>
      <c r="AH44" s="202">
        <f>AG44-(R44*S44)</f>
        <v>2180</v>
      </c>
      <c r="AI44" s="203">
        <f>G44*S44</f>
        <v>4920</v>
      </c>
      <c r="AJ44" s="203">
        <f>G44*T44</f>
        <v>0</v>
      </c>
      <c r="AK44" s="203">
        <f>R44*S44</f>
        <v>4920</v>
      </c>
      <c r="AL44" s="203">
        <f>R44*T44</f>
        <v>0</v>
      </c>
      <c r="AM44" s="203">
        <f>AK44-AI44</f>
        <v>0</v>
      </c>
      <c r="AN44" s="203">
        <f>AL44-AJ44</f>
        <v>0</v>
      </c>
      <c r="AO44" s="205">
        <f>Z44*S44</f>
        <v>0</v>
      </c>
      <c r="AP44" s="205">
        <f>Z44*T44</f>
        <v>0</v>
      </c>
      <c r="AQ44" s="205">
        <f>AA44</f>
        <v>2180</v>
      </c>
      <c r="AR44" s="205">
        <f>W44*S44</f>
        <v>0</v>
      </c>
      <c r="AS44" s="205">
        <f>W44*T44</f>
        <v>0</v>
      </c>
      <c r="AT44" s="209">
        <f t="shared" si="14"/>
        <v>4920</v>
      </c>
      <c r="AU44" s="209">
        <f t="shared" si="14"/>
        <v>0</v>
      </c>
      <c r="AV44" s="203"/>
      <c r="AW44" s="251">
        <f t="shared" ref="AW44:AW51" si="53">R44*S44</f>
        <v>4920</v>
      </c>
      <c r="AX44" s="251">
        <f>13500*S44-AB44</f>
        <v>6400</v>
      </c>
      <c r="AY44" s="838">
        <f>AW44</f>
        <v>4920</v>
      </c>
      <c r="AZ44" s="838"/>
      <c r="BA44" s="838">
        <f t="shared" ref="BA44:BA53" si="54">AX44</f>
        <v>6400</v>
      </c>
    </row>
    <row r="45" spans="2:53" s="76" customFormat="1">
      <c r="B45" s="703"/>
      <c r="C45" s="213" t="s">
        <v>1868</v>
      </c>
      <c r="D45" s="198"/>
      <c r="E45" s="703"/>
      <c r="F45" s="703"/>
      <c r="G45" s="199"/>
      <c r="H45" s="736"/>
      <c r="I45" s="199"/>
      <c r="J45" s="736"/>
      <c r="K45" s="199"/>
      <c r="L45" s="199"/>
      <c r="M45" s="736"/>
      <c r="N45" s="199"/>
      <c r="O45" s="736"/>
      <c r="P45" s="199"/>
      <c r="Q45" s="199"/>
      <c r="R45" s="199"/>
      <c r="S45" s="199"/>
      <c r="T45" s="206"/>
      <c r="U45" s="206"/>
      <c r="V45" s="741"/>
      <c r="W45" s="206"/>
      <c r="X45" s="718"/>
      <c r="Y45" s="737"/>
      <c r="Z45" s="199"/>
      <c r="AA45" s="199"/>
      <c r="AB45" s="199"/>
      <c r="AC45" s="738"/>
      <c r="AD45" s="738"/>
      <c r="AE45" s="202"/>
      <c r="AF45" s="202"/>
      <c r="AG45" s="738"/>
      <c r="AH45" s="202"/>
      <c r="AI45" s="203"/>
      <c r="AJ45" s="203"/>
      <c r="AK45" s="203"/>
      <c r="AL45" s="203">
        <f t="shared" ref="AL45:AL86" si="55">R45*T45</f>
        <v>0</v>
      </c>
      <c r="AM45" s="203"/>
      <c r="AN45" s="203"/>
      <c r="AO45" s="205"/>
      <c r="AP45" s="205"/>
      <c r="AQ45" s="205"/>
      <c r="AR45" s="205"/>
      <c r="AS45" s="205"/>
      <c r="AT45" s="209"/>
      <c r="AU45" s="209"/>
      <c r="AV45" s="203"/>
      <c r="AW45" s="251"/>
      <c r="AX45" s="251"/>
      <c r="AY45" s="839"/>
      <c r="AZ45" s="838"/>
      <c r="BA45" s="838"/>
    </row>
    <row r="46" spans="2:53" s="76" customFormat="1">
      <c r="B46" s="703">
        <f>B44+1</f>
        <v>25</v>
      </c>
      <c r="C46" s="197" t="s">
        <v>1230</v>
      </c>
      <c r="D46" s="198"/>
      <c r="E46" s="703" t="s">
        <v>1376</v>
      </c>
      <c r="F46" s="703">
        <v>6</v>
      </c>
      <c r="G46" s="199">
        <v>4633</v>
      </c>
      <c r="H46" s="736"/>
      <c r="I46" s="199"/>
      <c r="J46" s="736"/>
      <c r="K46" s="199"/>
      <c r="L46" s="199"/>
      <c r="M46" s="736"/>
      <c r="N46" s="199"/>
      <c r="O46" s="736"/>
      <c r="P46" s="199"/>
      <c r="Q46" s="199"/>
      <c r="R46" s="199">
        <f>G46+I46+K46+L46+N46+P46+Q46</f>
        <v>4633</v>
      </c>
      <c r="S46" s="199">
        <v>1</v>
      </c>
      <c r="T46" s="206"/>
      <c r="U46" s="206"/>
      <c r="V46" s="741"/>
      <c r="W46" s="206"/>
      <c r="X46" s="718"/>
      <c r="Y46" s="737"/>
      <c r="Z46" s="199"/>
      <c r="AA46" s="199">
        <f>AH46</f>
        <v>2467</v>
      </c>
      <c r="AB46" s="199">
        <f>(R46+AA46)*S46</f>
        <v>7100</v>
      </c>
      <c r="AC46" s="738">
        <f>AF46</f>
        <v>0</v>
      </c>
      <c r="AD46" s="738">
        <f>AB46+AC46</f>
        <v>7100</v>
      </c>
      <c r="AE46" s="202">
        <f>AB46</f>
        <v>7100</v>
      </c>
      <c r="AF46" s="202">
        <f>AE46-AB46</f>
        <v>0</v>
      </c>
      <c r="AG46" s="738">
        <f>7100*S46</f>
        <v>7100</v>
      </c>
      <c r="AH46" s="202">
        <f>AG46-(R46*S46)</f>
        <v>2467</v>
      </c>
      <c r="AI46" s="203">
        <f>G46*S46</f>
        <v>4633</v>
      </c>
      <c r="AJ46" s="203">
        <f>G46*T46</f>
        <v>0</v>
      </c>
      <c r="AK46" s="203">
        <f>R46*S46</f>
        <v>4633</v>
      </c>
      <c r="AL46" s="203">
        <f t="shared" si="55"/>
        <v>0</v>
      </c>
      <c r="AM46" s="203">
        <f>AK46-AI46</f>
        <v>0</v>
      </c>
      <c r="AN46" s="203">
        <f>AL46-AJ46</f>
        <v>0</v>
      </c>
      <c r="AO46" s="205">
        <f>Z46*S46</f>
        <v>0</v>
      </c>
      <c r="AP46" s="205">
        <f>Z46*T46</f>
        <v>0</v>
      </c>
      <c r="AQ46" s="205">
        <f>AA46</f>
        <v>2467</v>
      </c>
      <c r="AR46" s="205">
        <f>W46*S46</f>
        <v>0</v>
      </c>
      <c r="AS46" s="205">
        <f>W46*T46</f>
        <v>0</v>
      </c>
      <c r="AT46" s="209">
        <f t="shared" si="14"/>
        <v>4633</v>
      </c>
      <c r="AU46" s="209">
        <f t="shared" si="14"/>
        <v>0</v>
      </c>
      <c r="AV46" s="203"/>
      <c r="AW46" s="251">
        <f t="shared" si="53"/>
        <v>4633</v>
      </c>
      <c r="AX46" s="251">
        <f>13500*S46-AB46</f>
        <v>6400</v>
      </c>
      <c r="AY46" s="838">
        <f t="shared" ref="AY46:AY86" si="56">AW46</f>
        <v>4633</v>
      </c>
      <c r="AZ46" s="838"/>
      <c r="BA46" s="838">
        <f t="shared" si="54"/>
        <v>6400</v>
      </c>
    </row>
    <row r="47" spans="2:53" s="76" customFormat="1">
      <c r="B47" s="703">
        <f t="shared" si="17"/>
        <v>26</v>
      </c>
      <c r="C47" s="197" t="s">
        <v>1230</v>
      </c>
      <c r="D47" s="198"/>
      <c r="E47" s="703" t="s">
        <v>1231</v>
      </c>
      <c r="F47" s="703">
        <v>6</v>
      </c>
      <c r="G47" s="199">
        <v>4633</v>
      </c>
      <c r="H47" s="736"/>
      <c r="I47" s="199"/>
      <c r="J47" s="736"/>
      <c r="K47" s="199"/>
      <c r="L47" s="199"/>
      <c r="M47" s="736"/>
      <c r="N47" s="199"/>
      <c r="O47" s="736"/>
      <c r="P47" s="199"/>
      <c r="Q47" s="199"/>
      <c r="R47" s="199">
        <f>G47+I47+K47+L47+N47+P47+Q47</f>
        <v>4633</v>
      </c>
      <c r="S47" s="199">
        <v>1</v>
      </c>
      <c r="T47" s="206"/>
      <c r="U47" s="206"/>
      <c r="V47" s="741"/>
      <c r="W47" s="206"/>
      <c r="X47" s="718"/>
      <c r="Y47" s="737"/>
      <c r="Z47" s="199"/>
      <c r="AA47" s="199">
        <f>AH47</f>
        <v>2467</v>
      </c>
      <c r="AB47" s="199">
        <f>(R47+AA47)*S47</f>
        <v>7100</v>
      </c>
      <c r="AC47" s="738">
        <f>AF47</f>
        <v>0</v>
      </c>
      <c r="AD47" s="738">
        <f>AB47+AC47</f>
        <v>7100</v>
      </c>
      <c r="AE47" s="202">
        <f>AB47</f>
        <v>7100</v>
      </c>
      <c r="AF47" s="202">
        <f>AE47-AB47</f>
        <v>0</v>
      </c>
      <c r="AG47" s="738">
        <f>7100*S47</f>
        <v>7100</v>
      </c>
      <c r="AH47" s="202">
        <f>AG47-(R47*S47)</f>
        <v>2467</v>
      </c>
      <c r="AI47" s="203">
        <f>G47*S47</f>
        <v>4633</v>
      </c>
      <c r="AJ47" s="203">
        <f>G47*T47</f>
        <v>0</v>
      </c>
      <c r="AK47" s="203">
        <f>R47*S47</f>
        <v>4633</v>
      </c>
      <c r="AL47" s="203">
        <f t="shared" si="55"/>
        <v>0</v>
      </c>
      <c r="AM47" s="203">
        <f>AK47-AI47</f>
        <v>0</v>
      </c>
      <c r="AN47" s="203">
        <f>AL47-AJ47</f>
        <v>0</v>
      </c>
      <c r="AO47" s="205">
        <f>Z47*S47</f>
        <v>0</v>
      </c>
      <c r="AP47" s="205">
        <f>Z47*T47</f>
        <v>0</v>
      </c>
      <c r="AQ47" s="205">
        <f>AA47</f>
        <v>2467</v>
      </c>
      <c r="AR47" s="205">
        <f>W47*S47</f>
        <v>0</v>
      </c>
      <c r="AS47" s="205">
        <f>W47*T47</f>
        <v>0</v>
      </c>
      <c r="AT47" s="209">
        <f t="shared" si="14"/>
        <v>4633</v>
      </c>
      <c r="AU47" s="209">
        <f t="shared" si="14"/>
        <v>0</v>
      </c>
      <c r="AV47" s="203"/>
      <c r="AW47" s="251">
        <f t="shared" si="53"/>
        <v>4633</v>
      </c>
      <c r="AX47" s="251">
        <f>13500*S47-AB47</f>
        <v>6400</v>
      </c>
      <c r="AY47" s="838">
        <f t="shared" si="56"/>
        <v>4633</v>
      </c>
      <c r="AZ47" s="838"/>
      <c r="BA47" s="838">
        <f t="shared" si="54"/>
        <v>6400</v>
      </c>
    </row>
    <row r="48" spans="2:53" s="76" customFormat="1">
      <c r="B48" s="703"/>
      <c r="C48" s="213" t="s">
        <v>1869</v>
      </c>
      <c r="D48" s="198"/>
      <c r="E48" s="703"/>
      <c r="F48" s="703"/>
      <c r="G48" s="199"/>
      <c r="H48" s="736"/>
      <c r="I48" s="199"/>
      <c r="J48" s="736"/>
      <c r="K48" s="199"/>
      <c r="L48" s="199"/>
      <c r="M48" s="736"/>
      <c r="N48" s="199"/>
      <c r="O48" s="736"/>
      <c r="P48" s="199"/>
      <c r="Q48" s="199"/>
      <c r="R48" s="199"/>
      <c r="S48" s="199"/>
      <c r="T48" s="206"/>
      <c r="U48" s="206"/>
      <c r="V48" s="741"/>
      <c r="W48" s="206"/>
      <c r="X48" s="718"/>
      <c r="Y48" s="737"/>
      <c r="Z48" s="199"/>
      <c r="AA48" s="199"/>
      <c r="AB48" s="199"/>
      <c r="AC48" s="738"/>
      <c r="AD48" s="738"/>
      <c r="AE48" s="202"/>
      <c r="AF48" s="202"/>
      <c r="AG48" s="738"/>
      <c r="AH48" s="202"/>
      <c r="AI48" s="203"/>
      <c r="AJ48" s="203"/>
      <c r="AK48" s="203"/>
      <c r="AL48" s="203">
        <f t="shared" si="55"/>
        <v>0</v>
      </c>
      <c r="AM48" s="203"/>
      <c r="AN48" s="203"/>
      <c r="AO48" s="205"/>
      <c r="AP48" s="205"/>
      <c r="AQ48" s="205"/>
      <c r="AR48" s="205"/>
      <c r="AS48" s="205"/>
      <c r="AT48" s="209"/>
      <c r="AU48" s="209"/>
      <c r="AV48" s="203"/>
      <c r="AW48" s="251"/>
      <c r="AX48" s="251"/>
      <c r="AY48" s="838"/>
      <c r="AZ48" s="838"/>
      <c r="BA48" s="838"/>
    </row>
    <row r="49" spans="2:53" s="76" customFormat="1">
      <c r="B49" s="703">
        <f>B47+1</f>
        <v>27</v>
      </c>
      <c r="C49" s="197" t="s">
        <v>1248</v>
      </c>
      <c r="D49" s="198" t="s">
        <v>1249</v>
      </c>
      <c r="E49" s="703" t="s">
        <v>1250</v>
      </c>
      <c r="F49" s="703">
        <v>3</v>
      </c>
      <c r="G49" s="199">
        <v>3770</v>
      </c>
      <c r="H49" s="737">
        <v>0.2</v>
      </c>
      <c r="I49" s="703">
        <f t="shared" ref="I49:I54" si="57">G49*H49</f>
        <v>754</v>
      </c>
      <c r="J49" s="736"/>
      <c r="K49" s="199"/>
      <c r="L49" s="199"/>
      <c r="M49" s="736"/>
      <c r="N49" s="199"/>
      <c r="O49" s="736"/>
      <c r="P49" s="199"/>
      <c r="Q49" s="199"/>
      <c r="R49" s="199">
        <f t="shared" ref="R49:R65" si="58">G49+I49+K49+L49+N49+P49+Q49</f>
        <v>4524</v>
      </c>
      <c r="S49" s="199">
        <v>1</v>
      </c>
      <c r="T49" s="206"/>
      <c r="U49" s="206"/>
      <c r="V49" s="741"/>
      <c r="W49" s="206"/>
      <c r="X49" s="718"/>
      <c r="Y49" s="737"/>
      <c r="Z49" s="199"/>
      <c r="AA49" s="199">
        <f t="shared" ref="AA49:AA54" si="59">AH49</f>
        <v>2576</v>
      </c>
      <c r="AB49" s="199">
        <f>(R49+AA49)*S49</f>
        <v>7100</v>
      </c>
      <c r="AC49" s="738">
        <f t="shared" ref="AC49:AC65" si="60">AF49</f>
        <v>0</v>
      </c>
      <c r="AD49" s="738">
        <f t="shared" ref="AD49:AD73" si="61">AB49+AC49</f>
        <v>7100</v>
      </c>
      <c r="AE49" s="202">
        <f t="shared" ref="AE49:AE73" si="62">AB49</f>
        <v>7100</v>
      </c>
      <c r="AF49" s="202">
        <f t="shared" ref="AF49:AF64" si="63">AE49-AB49</f>
        <v>0</v>
      </c>
      <c r="AG49" s="738">
        <f>7100*S49</f>
        <v>7100</v>
      </c>
      <c r="AH49" s="202">
        <f>AG49-(R49*S49)</f>
        <v>2576</v>
      </c>
      <c r="AI49" s="203">
        <f t="shared" ref="AI49:AI63" si="64">G49*S49</f>
        <v>3770</v>
      </c>
      <c r="AJ49" s="203">
        <f t="shared" ref="AJ49:AJ64" si="65">G49*T49</f>
        <v>0</v>
      </c>
      <c r="AK49" s="203">
        <f t="shared" ref="AK49:AK64" si="66">R49*S49</f>
        <v>4524</v>
      </c>
      <c r="AL49" s="203">
        <f t="shared" si="55"/>
        <v>0</v>
      </c>
      <c r="AM49" s="203">
        <f t="shared" ref="AM49:AN65" si="67">AK49-AI49</f>
        <v>754</v>
      </c>
      <c r="AN49" s="203">
        <f t="shared" si="67"/>
        <v>0</v>
      </c>
      <c r="AO49" s="205">
        <f t="shared" ref="AO49:AO65" si="68">Z49*S49</f>
        <v>0</v>
      </c>
      <c r="AP49" s="205">
        <f t="shared" ref="AP49:AP65" si="69">Z49*T49</f>
        <v>0</v>
      </c>
      <c r="AQ49" s="205">
        <f t="shared" ref="AQ49:AQ65" si="70">AA49</f>
        <v>2576</v>
      </c>
      <c r="AR49" s="205">
        <f t="shared" ref="AR49:AR65" si="71">W49*S49</f>
        <v>0</v>
      </c>
      <c r="AS49" s="205">
        <f t="shared" ref="AS49:AS65" si="72">W49*T49</f>
        <v>0</v>
      </c>
      <c r="AT49" s="209">
        <f>AK49</f>
        <v>4524</v>
      </c>
      <c r="AU49" s="209">
        <f t="shared" si="14"/>
        <v>0</v>
      </c>
      <c r="AV49" s="203"/>
      <c r="AW49" s="251">
        <f t="shared" si="53"/>
        <v>4524</v>
      </c>
      <c r="AX49" s="251"/>
      <c r="AY49" s="838">
        <f t="shared" si="56"/>
        <v>4524</v>
      </c>
      <c r="AZ49" s="838"/>
      <c r="BA49" s="838">
        <f t="shared" si="54"/>
        <v>0</v>
      </c>
    </row>
    <row r="50" spans="2:53" s="76" customFormat="1">
      <c r="B50" s="703">
        <f t="shared" si="17"/>
        <v>28</v>
      </c>
      <c r="C50" s="197" t="s">
        <v>1248</v>
      </c>
      <c r="D50" s="198" t="s">
        <v>1249</v>
      </c>
      <c r="E50" s="703" t="s">
        <v>1250</v>
      </c>
      <c r="F50" s="703">
        <v>3</v>
      </c>
      <c r="G50" s="199">
        <v>3770</v>
      </c>
      <c r="H50" s="737">
        <v>0.2</v>
      </c>
      <c r="I50" s="703">
        <f t="shared" si="57"/>
        <v>754</v>
      </c>
      <c r="J50" s="736"/>
      <c r="K50" s="199"/>
      <c r="L50" s="199"/>
      <c r="M50" s="736"/>
      <c r="N50" s="199"/>
      <c r="O50" s="736"/>
      <c r="P50" s="199"/>
      <c r="Q50" s="199"/>
      <c r="R50" s="199">
        <f t="shared" si="58"/>
        <v>4524</v>
      </c>
      <c r="S50" s="199"/>
      <c r="T50" s="199">
        <v>0.5</v>
      </c>
      <c r="U50" s="206"/>
      <c r="V50" s="741"/>
      <c r="W50" s="206"/>
      <c r="X50" s="718"/>
      <c r="Y50" s="737"/>
      <c r="Z50" s="199"/>
      <c r="AA50" s="199">
        <f t="shared" si="59"/>
        <v>1288</v>
      </c>
      <c r="AB50" s="199">
        <f>(R50+Z50+U50+W50)*T50+AA50</f>
        <v>3550</v>
      </c>
      <c r="AC50" s="738">
        <f t="shared" si="60"/>
        <v>0</v>
      </c>
      <c r="AD50" s="738">
        <f t="shared" si="61"/>
        <v>3550</v>
      </c>
      <c r="AE50" s="202">
        <f t="shared" si="62"/>
        <v>3550</v>
      </c>
      <c r="AF50" s="202">
        <f t="shared" si="63"/>
        <v>0</v>
      </c>
      <c r="AG50" s="738">
        <f>7100*T50</f>
        <v>3550</v>
      </c>
      <c r="AH50" s="202">
        <f>AG50-(R50*T50)</f>
        <v>1288</v>
      </c>
      <c r="AI50" s="203">
        <f t="shared" si="64"/>
        <v>0</v>
      </c>
      <c r="AJ50" s="203">
        <f>G50*T50</f>
        <v>1885</v>
      </c>
      <c r="AK50" s="203">
        <f>R50*T50</f>
        <v>2262</v>
      </c>
      <c r="AL50" s="203">
        <f t="shared" si="55"/>
        <v>2262</v>
      </c>
      <c r="AM50" s="203">
        <f t="shared" si="67"/>
        <v>2262</v>
      </c>
      <c r="AN50" s="203">
        <f t="shared" si="67"/>
        <v>377</v>
      </c>
      <c r="AO50" s="205">
        <f t="shared" si="68"/>
        <v>0</v>
      </c>
      <c r="AP50" s="205">
        <f t="shared" si="69"/>
        <v>0</v>
      </c>
      <c r="AQ50" s="205">
        <f t="shared" si="70"/>
        <v>1288</v>
      </c>
      <c r="AR50" s="205">
        <f t="shared" si="71"/>
        <v>0</v>
      </c>
      <c r="AS50" s="205">
        <f t="shared" si="72"/>
        <v>0</v>
      </c>
      <c r="AT50" s="209">
        <f>AK50</f>
        <v>2262</v>
      </c>
      <c r="AU50" s="209">
        <f t="shared" si="14"/>
        <v>2262</v>
      </c>
      <c r="AV50" s="203"/>
      <c r="AW50" s="251">
        <f>R50*T50</f>
        <v>2262</v>
      </c>
      <c r="AX50" s="251"/>
      <c r="AY50" s="838">
        <f t="shared" si="56"/>
        <v>2262</v>
      </c>
      <c r="AZ50" s="838"/>
      <c r="BA50" s="838">
        <f t="shared" si="54"/>
        <v>0</v>
      </c>
    </row>
    <row r="51" spans="2:53" s="76" customFormat="1">
      <c r="B51" s="703">
        <f t="shared" si="17"/>
        <v>29</v>
      </c>
      <c r="C51" s="197" t="s">
        <v>1248</v>
      </c>
      <c r="D51" s="198" t="s">
        <v>1249</v>
      </c>
      <c r="E51" s="703" t="s">
        <v>1251</v>
      </c>
      <c r="F51" s="703">
        <v>4</v>
      </c>
      <c r="G51" s="199">
        <v>4058</v>
      </c>
      <c r="H51" s="737">
        <v>0.2</v>
      </c>
      <c r="I51" s="703">
        <f t="shared" si="57"/>
        <v>811.6</v>
      </c>
      <c r="J51" s="736"/>
      <c r="K51" s="199"/>
      <c r="L51" s="199"/>
      <c r="M51" s="736"/>
      <c r="N51" s="199"/>
      <c r="O51" s="736"/>
      <c r="P51" s="199"/>
      <c r="Q51" s="199"/>
      <c r="R51" s="199">
        <f t="shared" si="58"/>
        <v>4869.6000000000004</v>
      </c>
      <c r="S51" s="199">
        <v>1</v>
      </c>
      <c r="T51" s="199"/>
      <c r="U51" s="206"/>
      <c r="V51" s="741"/>
      <c r="W51" s="206"/>
      <c r="X51" s="718"/>
      <c r="Y51" s="737"/>
      <c r="Z51" s="199"/>
      <c r="AA51" s="199">
        <f t="shared" si="59"/>
        <v>2230.3999999999996</v>
      </c>
      <c r="AB51" s="199">
        <f>(R51+AA51)*S51</f>
        <v>7100</v>
      </c>
      <c r="AC51" s="738">
        <f t="shared" si="60"/>
        <v>0</v>
      </c>
      <c r="AD51" s="738">
        <f t="shared" si="61"/>
        <v>7100</v>
      </c>
      <c r="AE51" s="202">
        <f t="shared" si="62"/>
        <v>7100</v>
      </c>
      <c r="AF51" s="202">
        <f t="shared" si="63"/>
        <v>0</v>
      </c>
      <c r="AG51" s="738">
        <f>7100*S51</f>
        <v>7100</v>
      </c>
      <c r="AH51" s="202">
        <f>AG51-(R51*S51)</f>
        <v>2230.3999999999996</v>
      </c>
      <c r="AI51" s="203">
        <f t="shared" si="64"/>
        <v>4058</v>
      </c>
      <c r="AJ51" s="203">
        <f t="shared" si="65"/>
        <v>0</v>
      </c>
      <c r="AK51" s="203">
        <f t="shared" si="66"/>
        <v>4869.6000000000004</v>
      </c>
      <c r="AL51" s="203">
        <f t="shared" si="55"/>
        <v>0</v>
      </c>
      <c r="AM51" s="203">
        <f t="shared" si="67"/>
        <v>811.60000000000036</v>
      </c>
      <c r="AN51" s="203">
        <f t="shared" si="67"/>
        <v>0</v>
      </c>
      <c r="AO51" s="205">
        <f t="shared" si="68"/>
        <v>0</v>
      </c>
      <c r="AP51" s="205">
        <f t="shared" si="69"/>
        <v>0</v>
      </c>
      <c r="AQ51" s="205">
        <f t="shared" si="70"/>
        <v>2230.3999999999996</v>
      </c>
      <c r="AR51" s="205">
        <f t="shared" si="71"/>
        <v>0</v>
      </c>
      <c r="AS51" s="205">
        <f t="shared" si="72"/>
        <v>0</v>
      </c>
      <c r="AT51" s="209">
        <f t="shared" si="14"/>
        <v>4869.6000000000004</v>
      </c>
      <c r="AU51" s="209">
        <f t="shared" si="14"/>
        <v>0</v>
      </c>
      <c r="AV51" s="203"/>
      <c r="AW51" s="251">
        <f t="shared" si="53"/>
        <v>4869.6000000000004</v>
      </c>
      <c r="AX51" s="251"/>
      <c r="AY51" s="838">
        <f t="shared" si="56"/>
        <v>4869.6000000000004</v>
      </c>
      <c r="AZ51" s="838"/>
      <c r="BA51" s="838">
        <f t="shared" si="54"/>
        <v>0</v>
      </c>
    </row>
    <row r="52" spans="2:53" s="76" customFormat="1">
      <c r="B52" s="703">
        <f t="shared" si="17"/>
        <v>30</v>
      </c>
      <c r="C52" s="197" t="s">
        <v>1248</v>
      </c>
      <c r="D52" s="198" t="s">
        <v>1249</v>
      </c>
      <c r="E52" s="703" t="s">
        <v>1251</v>
      </c>
      <c r="F52" s="703">
        <v>4</v>
      </c>
      <c r="G52" s="199">
        <v>4058</v>
      </c>
      <c r="H52" s="737">
        <v>0.2</v>
      </c>
      <c r="I52" s="703">
        <f t="shared" si="57"/>
        <v>811.6</v>
      </c>
      <c r="J52" s="736"/>
      <c r="K52" s="199"/>
      <c r="L52" s="199"/>
      <c r="M52" s="736"/>
      <c r="N52" s="199"/>
      <c r="O52" s="736"/>
      <c r="P52" s="199"/>
      <c r="Q52" s="199"/>
      <c r="R52" s="199">
        <f t="shared" si="58"/>
        <v>4869.6000000000004</v>
      </c>
      <c r="S52" s="199"/>
      <c r="T52" s="199">
        <v>0.5</v>
      </c>
      <c r="U52" s="206"/>
      <c r="V52" s="741"/>
      <c r="W52" s="206"/>
      <c r="X52" s="718"/>
      <c r="Y52" s="737"/>
      <c r="Z52" s="199"/>
      <c r="AA52" s="199">
        <f t="shared" si="59"/>
        <v>1115.1999999999998</v>
      </c>
      <c r="AB52" s="199">
        <f>(R52+Z52+U52+W52)*T52+AA52</f>
        <v>3550</v>
      </c>
      <c r="AC52" s="738">
        <f t="shared" si="60"/>
        <v>0</v>
      </c>
      <c r="AD52" s="738">
        <f t="shared" si="61"/>
        <v>3550</v>
      </c>
      <c r="AE52" s="202">
        <f t="shared" si="62"/>
        <v>3550</v>
      </c>
      <c r="AF52" s="202">
        <f t="shared" si="63"/>
        <v>0</v>
      </c>
      <c r="AG52" s="738">
        <f>7100*T52</f>
        <v>3550</v>
      </c>
      <c r="AH52" s="202">
        <f>AG52-(R52*T52)</f>
        <v>1115.1999999999998</v>
      </c>
      <c r="AI52" s="203">
        <f t="shared" si="64"/>
        <v>0</v>
      </c>
      <c r="AJ52" s="203">
        <f>G52*T52</f>
        <v>2029</v>
      </c>
      <c r="AK52" s="203">
        <f t="shared" si="66"/>
        <v>0</v>
      </c>
      <c r="AL52" s="203">
        <f t="shared" si="55"/>
        <v>2434.8000000000002</v>
      </c>
      <c r="AM52" s="203">
        <f t="shared" si="67"/>
        <v>0</v>
      </c>
      <c r="AN52" s="203">
        <f t="shared" si="67"/>
        <v>405.80000000000018</v>
      </c>
      <c r="AO52" s="205">
        <f t="shared" si="68"/>
        <v>0</v>
      </c>
      <c r="AP52" s="205">
        <f t="shared" si="69"/>
        <v>0</v>
      </c>
      <c r="AQ52" s="205">
        <f t="shared" si="70"/>
        <v>1115.1999999999998</v>
      </c>
      <c r="AR52" s="205">
        <f t="shared" si="71"/>
        <v>0</v>
      </c>
      <c r="AS52" s="205">
        <f t="shared" si="72"/>
        <v>0</v>
      </c>
      <c r="AT52" s="209">
        <f t="shared" si="14"/>
        <v>0</v>
      </c>
      <c r="AU52" s="209">
        <f t="shared" si="14"/>
        <v>2434.8000000000002</v>
      </c>
      <c r="AV52" s="203"/>
      <c r="AW52" s="251">
        <f>R52*T52</f>
        <v>2434.8000000000002</v>
      </c>
      <c r="AX52" s="251"/>
      <c r="AY52" s="838">
        <f t="shared" si="56"/>
        <v>2434.8000000000002</v>
      </c>
      <c r="AZ52" s="838"/>
      <c r="BA52" s="838">
        <f t="shared" si="54"/>
        <v>0</v>
      </c>
    </row>
    <row r="53" spans="2:53" s="76" customFormat="1">
      <c r="B53" s="703">
        <f t="shared" si="17"/>
        <v>31</v>
      </c>
      <c r="C53" s="197" t="s">
        <v>1248</v>
      </c>
      <c r="D53" s="198" t="s">
        <v>1252</v>
      </c>
      <c r="E53" s="703" t="s">
        <v>1253</v>
      </c>
      <c r="F53" s="703">
        <v>3</v>
      </c>
      <c r="G53" s="199">
        <v>3770</v>
      </c>
      <c r="H53" s="737">
        <v>0.2</v>
      </c>
      <c r="I53" s="703">
        <f t="shared" si="57"/>
        <v>754</v>
      </c>
      <c r="J53" s="736"/>
      <c r="K53" s="199"/>
      <c r="L53" s="199"/>
      <c r="M53" s="736"/>
      <c r="N53" s="199"/>
      <c r="O53" s="736"/>
      <c r="P53" s="199"/>
      <c r="Q53" s="199"/>
      <c r="R53" s="199">
        <f t="shared" si="58"/>
        <v>4524</v>
      </c>
      <c r="S53" s="199">
        <v>1</v>
      </c>
      <c r="T53" s="206"/>
      <c r="U53" s="206"/>
      <c r="V53" s="737"/>
      <c r="W53" s="204"/>
      <c r="X53" s="718"/>
      <c r="Y53" s="737"/>
      <c r="Z53" s="199"/>
      <c r="AA53" s="199">
        <f t="shared" si="59"/>
        <v>2576</v>
      </c>
      <c r="AB53" s="199">
        <f>(R53+AA53)*S53</f>
        <v>7100</v>
      </c>
      <c r="AC53" s="738">
        <f t="shared" si="60"/>
        <v>0</v>
      </c>
      <c r="AD53" s="738">
        <f t="shared" si="61"/>
        <v>7100</v>
      </c>
      <c r="AE53" s="202">
        <f t="shared" si="62"/>
        <v>7100</v>
      </c>
      <c r="AF53" s="202">
        <f t="shared" si="63"/>
        <v>0</v>
      </c>
      <c r="AG53" s="738">
        <f>7100*S53</f>
        <v>7100</v>
      </c>
      <c r="AH53" s="202">
        <f>AG53-(R53*S53)</f>
        <v>2576</v>
      </c>
      <c r="AI53" s="203">
        <f t="shared" si="64"/>
        <v>3770</v>
      </c>
      <c r="AJ53" s="203">
        <f>G53*T53</f>
        <v>0</v>
      </c>
      <c r="AK53" s="203">
        <f t="shared" si="66"/>
        <v>4524</v>
      </c>
      <c r="AL53" s="203">
        <f t="shared" si="55"/>
        <v>0</v>
      </c>
      <c r="AM53" s="203">
        <f t="shared" si="67"/>
        <v>754</v>
      </c>
      <c r="AN53" s="203">
        <f t="shared" si="67"/>
        <v>0</v>
      </c>
      <c r="AO53" s="205">
        <f t="shared" si="68"/>
        <v>0</v>
      </c>
      <c r="AP53" s="205">
        <f t="shared" si="69"/>
        <v>0</v>
      </c>
      <c r="AQ53" s="205">
        <f t="shared" si="70"/>
        <v>2576</v>
      </c>
      <c r="AR53" s="205">
        <f t="shared" si="71"/>
        <v>0</v>
      </c>
      <c r="AS53" s="205">
        <f t="shared" si="72"/>
        <v>0</v>
      </c>
      <c r="AT53" s="209">
        <f t="shared" si="14"/>
        <v>4524</v>
      </c>
      <c r="AU53" s="209">
        <f t="shared" si="14"/>
        <v>0</v>
      </c>
      <c r="AV53" s="203"/>
      <c r="AW53" s="251">
        <f>R53*S53</f>
        <v>4524</v>
      </c>
      <c r="AX53" s="251"/>
      <c r="AY53" s="838">
        <f t="shared" si="56"/>
        <v>4524</v>
      </c>
      <c r="AZ53" s="838"/>
      <c r="BA53" s="838">
        <f t="shared" si="54"/>
        <v>0</v>
      </c>
    </row>
    <row r="54" spans="2:53" s="76" customFormat="1">
      <c r="B54" s="703">
        <f t="shared" si="17"/>
        <v>32</v>
      </c>
      <c r="C54" s="197" t="s">
        <v>1248</v>
      </c>
      <c r="D54" s="198" t="s">
        <v>1252</v>
      </c>
      <c r="E54" s="703" t="s">
        <v>1253</v>
      </c>
      <c r="F54" s="703">
        <v>3</v>
      </c>
      <c r="G54" s="199">
        <v>3770</v>
      </c>
      <c r="H54" s="737">
        <v>0.2</v>
      </c>
      <c r="I54" s="703">
        <f t="shared" si="57"/>
        <v>754</v>
      </c>
      <c r="J54" s="736"/>
      <c r="K54" s="199"/>
      <c r="L54" s="199"/>
      <c r="M54" s="736"/>
      <c r="N54" s="199"/>
      <c r="O54" s="736"/>
      <c r="P54" s="199"/>
      <c r="Q54" s="199"/>
      <c r="R54" s="199">
        <f t="shared" si="58"/>
        <v>4524</v>
      </c>
      <c r="S54" s="199"/>
      <c r="T54" s="199">
        <v>0.5</v>
      </c>
      <c r="U54" s="206"/>
      <c r="V54" s="737"/>
      <c r="W54" s="204"/>
      <c r="X54" s="718"/>
      <c r="Y54" s="737"/>
      <c r="Z54" s="199"/>
      <c r="AA54" s="199">
        <f t="shared" si="59"/>
        <v>1288</v>
      </c>
      <c r="AB54" s="199">
        <f>(R54+Z54+U54+W54)*T54+AA54</f>
        <v>3550</v>
      </c>
      <c r="AC54" s="738">
        <f t="shared" si="60"/>
        <v>0</v>
      </c>
      <c r="AD54" s="738">
        <f t="shared" si="61"/>
        <v>3550</v>
      </c>
      <c r="AE54" s="202">
        <f t="shared" si="62"/>
        <v>3550</v>
      </c>
      <c r="AF54" s="202">
        <f t="shared" si="63"/>
        <v>0</v>
      </c>
      <c r="AG54" s="738">
        <f>7100*T54</f>
        <v>3550</v>
      </c>
      <c r="AH54" s="202">
        <f>AG54-(R54*T54)</f>
        <v>1288</v>
      </c>
      <c r="AI54" s="203">
        <f t="shared" si="64"/>
        <v>0</v>
      </c>
      <c r="AJ54" s="203">
        <f>G54*T54</f>
        <v>1885</v>
      </c>
      <c r="AK54" s="203">
        <f t="shared" si="66"/>
        <v>0</v>
      </c>
      <c r="AL54" s="203">
        <f t="shared" si="55"/>
        <v>2262</v>
      </c>
      <c r="AM54" s="203">
        <f t="shared" si="67"/>
        <v>0</v>
      </c>
      <c r="AN54" s="203">
        <f t="shared" si="67"/>
        <v>377</v>
      </c>
      <c r="AO54" s="205">
        <f t="shared" si="68"/>
        <v>0</v>
      </c>
      <c r="AP54" s="205">
        <f t="shared" si="69"/>
        <v>0</v>
      </c>
      <c r="AQ54" s="205">
        <f t="shared" si="70"/>
        <v>1288</v>
      </c>
      <c r="AR54" s="205">
        <f t="shared" si="71"/>
        <v>0</v>
      </c>
      <c r="AS54" s="205">
        <f t="shared" si="72"/>
        <v>0</v>
      </c>
      <c r="AT54" s="209">
        <f t="shared" si="14"/>
        <v>0</v>
      </c>
      <c r="AU54" s="209">
        <f t="shared" si="14"/>
        <v>2262</v>
      </c>
      <c r="AV54" s="203"/>
      <c r="AW54" s="251">
        <f>R54*T54</f>
        <v>2262</v>
      </c>
      <c r="AX54" s="251"/>
      <c r="AY54" s="838">
        <f t="shared" si="56"/>
        <v>2262</v>
      </c>
      <c r="AZ54" s="838"/>
      <c r="BA54" s="838">
        <f>AX54</f>
        <v>0</v>
      </c>
    </row>
    <row r="55" spans="2:53" s="76" customFormat="1">
      <c r="B55" s="703"/>
      <c r="C55" s="213" t="s">
        <v>1870</v>
      </c>
      <c r="D55" s="198"/>
      <c r="E55" s="703"/>
      <c r="F55" s="703"/>
      <c r="G55" s="199"/>
      <c r="H55" s="737"/>
      <c r="I55" s="703"/>
      <c r="J55" s="736"/>
      <c r="K55" s="199"/>
      <c r="L55" s="199"/>
      <c r="M55" s="736"/>
      <c r="N55" s="199"/>
      <c r="O55" s="736"/>
      <c r="P55" s="199"/>
      <c r="Q55" s="199"/>
      <c r="R55" s="199"/>
      <c r="S55" s="199"/>
      <c r="T55" s="199"/>
      <c r="U55" s="206"/>
      <c r="V55" s="737"/>
      <c r="W55" s="204"/>
      <c r="X55" s="718"/>
      <c r="Y55" s="737"/>
      <c r="Z55" s="199"/>
      <c r="AA55" s="199"/>
      <c r="AB55" s="199"/>
      <c r="AC55" s="738"/>
      <c r="AD55" s="738"/>
      <c r="AE55" s="202"/>
      <c r="AF55" s="202"/>
      <c r="AG55" s="738"/>
      <c r="AH55" s="202"/>
      <c r="AI55" s="203"/>
      <c r="AJ55" s="203"/>
      <c r="AK55" s="203"/>
      <c r="AL55" s="203">
        <f t="shared" si="55"/>
        <v>0</v>
      </c>
      <c r="AM55" s="203"/>
      <c r="AN55" s="203"/>
      <c r="AO55" s="205"/>
      <c r="AP55" s="205"/>
      <c r="AQ55" s="205"/>
      <c r="AR55" s="205"/>
      <c r="AS55" s="205"/>
      <c r="AT55" s="209"/>
      <c r="AU55" s="209"/>
      <c r="AV55" s="203"/>
      <c r="AW55" s="251"/>
      <c r="AX55" s="251"/>
      <c r="AY55" s="838"/>
      <c r="AZ55" s="838"/>
      <c r="BA55" s="838"/>
    </row>
    <row r="56" spans="2:53" s="76" customFormat="1">
      <c r="B56" s="703">
        <f>B54+1</f>
        <v>33</v>
      </c>
      <c r="C56" s="197" t="s">
        <v>1255</v>
      </c>
      <c r="D56" s="198" t="s">
        <v>1256</v>
      </c>
      <c r="E56" s="703" t="s">
        <v>1257</v>
      </c>
      <c r="F56" s="703">
        <v>5</v>
      </c>
      <c r="G56" s="199">
        <v>4345</v>
      </c>
      <c r="H56" s="736"/>
      <c r="I56" s="199"/>
      <c r="J56" s="741"/>
      <c r="K56" s="206"/>
      <c r="L56" s="206"/>
      <c r="M56" s="741"/>
      <c r="N56" s="206"/>
      <c r="O56" s="741"/>
      <c r="P56" s="206"/>
      <c r="Q56" s="206"/>
      <c r="R56" s="199">
        <f t="shared" si="58"/>
        <v>4345</v>
      </c>
      <c r="S56" s="199">
        <v>1</v>
      </c>
      <c r="T56" s="206"/>
      <c r="U56" s="206"/>
      <c r="V56" s="737">
        <v>0</v>
      </c>
      <c r="W56" s="204">
        <f>R56*V56</f>
        <v>0</v>
      </c>
      <c r="X56" s="718"/>
      <c r="Y56" s="737"/>
      <c r="Z56" s="199"/>
      <c r="AA56" s="199">
        <f t="shared" ref="AA56:AA65" si="73">AH56</f>
        <v>2755</v>
      </c>
      <c r="AB56" s="199">
        <f t="shared" ref="AB56:AB63" si="74">(R56+AA56)*S56</f>
        <v>7100</v>
      </c>
      <c r="AC56" s="738">
        <f t="shared" si="60"/>
        <v>0</v>
      </c>
      <c r="AD56" s="738">
        <f t="shared" ref="AD56:AD64" si="75">AB56+AC56</f>
        <v>7100</v>
      </c>
      <c r="AE56" s="202">
        <f t="shared" ref="AE56:AE64" si="76">AB56</f>
        <v>7100</v>
      </c>
      <c r="AF56" s="202">
        <f t="shared" si="63"/>
        <v>0</v>
      </c>
      <c r="AG56" s="738">
        <f>7100*S56</f>
        <v>7100</v>
      </c>
      <c r="AH56" s="202">
        <f t="shared" ref="AH56:AH64" si="77">AG56-(R56*S56)</f>
        <v>2755</v>
      </c>
      <c r="AI56" s="203">
        <f t="shared" si="64"/>
        <v>4345</v>
      </c>
      <c r="AJ56" s="203">
        <f t="shared" si="65"/>
        <v>0</v>
      </c>
      <c r="AK56" s="203">
        <f t="shared" si="66"/>
        <v>4345</v>
      </c>
      <c r="AL56" s="203">
        <f t="shared" si="55"/>
        <v>0</v>
      </c>
      <c r="AM56" s="203">
        <f t="shared" si="67"/>
        <v>0</v>
      </c>
      <c r="AN56" s="203">
        <f t="shared" si="67"/>
        <v>0</v>
      </c>
      <c r="AO56" s="205">
        <f t="shared" si="68"/>
        <v>0</v>
      </c>
      <c r="AP56" s="205">
        <f t="shared" si="69"/>
        <v>0</v>
      </c>
      <c r="AQ56" s="205">
        <f t="shared" si="70"/>
        <v>2755</v>
      </c>
      <c r="AR56" s="205">
        <f t="shared" si="71"/>
        <v>0</v>
      </c>
      <c r="AS56" s="205">
        <f t="shared" si="72"/>
        <v>0</v>
      </c>
      <c r="AT56" s="209">
        <f t="shared" si="14"/>
        <v>4345</v>
      </c>
      <c r="AU56" s="209">
        <f t="shared" si="14"/>
        <v>0</v>
      </c>
      <c r="AV56" s="203"/>
      <c r="AW56" s="251">
        <f>R56*S56</f>
        <v>4345</v>
      </c>
      <c r="AX56" s="251"/>
      <c r="AY56" s="838">
        <f t="shared" si="56"/>
        <v>4345</v>
      </c>
      <c r="AZ56" s="838"/>
      <c r="BA56" s="838">
        <f>AX56</f>
        <v>0</v>
      </c>
    </row>
    <row r="57" spans="2:53" s="76" customFormat="1">
      <c r="B57" s="703">
        <f t="shared" si="17"/>
        <v>34</v>
      </c>
      <c r="C57" s="197" t="s">
        <v>1255</v>
      </c>
      <c r="D57" s="198" t="s">
        <v>1256</v>
      </c>
      <c r="E57" s="703" t="s">
        <v>1258</v>
      </c>
      <c r="F57" s="703">
        <v>5</v>
      </c>
      <c r="G57" s="199">
        <v>4345</v>
      </c>
      <c r="H57" s="736"/>
      <c r="I57" s="199"/>
      <c r="J57" s="736"/>
      <c r="K57" s="199"/>
      <c r="L57" s="199"/>
      <c r="M57" s="736"/>
      <c r="N57" s="199"/>
      <c r="O57" s="736"/>
      <c r="P57" s="199"/>
      <c r="Q57" s="199"/>
      <c r="R57" s="199">
        <f t="shared" si="58"/>
        <v>4345</v>
      </c>
      <c r="S57" s="199">
        <v>1</v>
      </c>
      <c r="T57" s="206"/>
      <c r="U57" s="206"/>
      <c r="V57" s="737">
        <v>0</v>
      </c>
      <c r="W57" s="204">
        <f>R57*V57</f>
        <v>0</v>
      </c>
      <c r="X57" s="718"/>
      <c r="Y57" s="737"/>
      <c r="Z57" s="199"/>
      <c r="AA57" s="199">
        <f t="shared" si="73"/>
        <v>2755</v>
      </c>
      <c r="AB57" s="199">
        <f t="shared" si="74"/>
        <v>7100</v>
      </c>
      <c r="AC57" s="738">
        <f t="shared" si="60"/>
        <v>0</v>
      </c>
      <c r="AD57" s="738">
        <f t="shared" si="75"/>
        <v>7100</v>
      </c>
      <c r="AE57" s="202">
        <f t="shared" si="76"/>
        <v>7100</v>
      </c>
      <c r="AF57" s="202">
        <f t="shared" si="63"/>
        <v>0</v>
      </c>
      <c r="AG57" s="738">
        <f>7100*S57</f>
        <v>7100</v>
      </c>
      <c r="AH57" s="202">
        <f t="shared" si="77"/>
        <v>2755</v>
      </c>
      <c r="AI57" s="203">
        <f t="shared" si="64"/>
        <v>4345</v>
      </c>
      <c r="AJ57" s="203">
        <f t="shared" si="65"/>
        <v>0</v>
      </c>
      <c r="AK57" s="203">
        <f t="shared" si="66"/>
        <v>4345</v>
      </c>
      <c r="AL57" s="203">
        <f t="shared" si="55"/>
        <v>0</v>
      </c>
      <c r="AM57" s="203">
        <f t="shared" si="67"/>
        <v>0</v>
      </c>
      <c r="AN57" s="203">
        <f t="shared" si="67"/>
        <v>0</v>
      </c>
      <c r="AO57" s="205">
        <f t="shared" si="68"/>
        <v>0</v>
      </c>
      <c r="AP57" s="205">
        <f t="shared" si="69"/>
        <v>0</v>
      </c>
      <c r="AQ57" s="205">
        <f t="shared" si="70"/>
        <v>2755</v>
      </c>
      <c r="AR57" s="205">
        <f t="shared" si="71"/>
        <v>0</v>
      </c>
      <c r="AS57" s="205">
        <f t="shared" si="72"/>
        <v>0</v>
      </c>
      <c r="AT57" s="209">
        <f t="shared" si="14"/>
        <v>4345</v>
      </c>
      <c r="AU57" s="209">
        <f t="shared" si="14"/>
        <v>0</v>
      </c>
      <c r="AV57" s="203"/>
      <c r="AW57" s="251">
        <f t="shared" ref="AW57:AW64" si="78">R57*S57</f>
        <v>4345</v>
      </c>
      <c r="AX57" s="251"/>
      <c r="AY57" s="838">
        <f t="shared" si="56"/>
        <v>4345</v>
      </c>
      <c r="AZ57" s="838"/>
      <c r="BA57" s="838">
        <f t="shared" ref="BA57:BA86" si="79">AX57</f>
        <v>0</v>
      </c>
    </row>
    <row r="58" spans="2:53" s="76" customFormat="1">
      <c r="B58" s="703">
        <f t="shared" si="17"/>
        <v>35</v>
      </c>
      <c r="C58" s="197" t="s">
        <v>1259</v>
      </c>
      <c r="D58" s="198"/>
      <c r="E58" s="703" t="s">
        <v>1260</v>
      </c>
      <c r="F58" s="703">
        <v>2</v>
      </c>
      <c r="G58" s="199">
        <v>3483</v>
      </c>
      <c r="H58" s="736"/>
      <c r="I58" s="199"/>
      <c r="J58" s="736"/>
      <c r="K58" s="199"/>
      <c r="L58" s="199"/>
      <c r="M58" s="736"/>
      <c r="N58" s="199"/>
      <c r="O58" s="736"/>
      <c r="P58" s="199"/>
      <c r="Q58" s="199"/>
      <c r="R58" s="199">
        <f t="shared" si="58"/>
        <v>3483</v>
      </c>
      <c r="S58" s="199">
        <v>1</v>
      </c>
      <c r="T58" s="206"/>
      <c r="U58" s="206"/>
      <c r="V58" s="741"/>
      <c r="W58" s="206"/>
      <c r="X58" s="718"/>
      <c r="Y58" s="737"/>
      <c r="Z58" s="199"/>
      <c r="AA58" s="199">
        <f t="shared" si="73"/>
        <v>3617</v>
      </c>
      <c r="AB58" s="199">
        <f t="shared" si="74"/>
        <v>7100</v>
      </c>
      <c r="AC58" s="738">
        <f t="shared" si="60"/>
        <v>0</v>
      </c>
      <c r="AD58" s="738">
        <f t="shared" si="75"/>
        <v>7100</v>
      </c>
      <c r="AE58" s="202">
        <f t="shared" si="76"/>
        <v>7100</v>
      </c>
      <c r="AF58" s="202">
        <f t="shared" si="63"/>
        <v>0</v>
      </c>
      <c r="AG58" s="738">
        <f>7100*S58</f>
        <v>7100</v>
      </c>
      <c r="AH58" s="202">
        <f t="shared" si="77"/>
        <v>3617</v>
      </c>
      <c r="AI58" s="203">
        <f t="shared" si="64"/>
        <v>3483</v>
      </c>
      <c r="AJ58" s="203">
        <f t="shared" si="65"/>
        <v>0</v>
      </c>
      <c r="AK58" s="203">
        <f t="shared" si="66"/>
        <v>3483</v>
      </c>
      <c r="AL58" s="203">
        <f t="shared" si="55"/>
        <v>0</v>
      </c>
      <c r="AM58" s="203">
        <f t="shared" si="67"/>
        <v>0</v>
      </c>
      <c r="AN58" s="203">
        <f t="shared" si="67"/>
        <v>0</v>
      </c>
      <c r="AO58" s="205">
        <f t="shared" si="68"/>
        <v>0</v>
      </c>
      <c r="AP58" s="205">
        <f t="shared" si="69"/>
        <v>0</v>
      </c>
      <c r="AQ58" s="205">
        <f t="shared" si="70"/>
        <v>3617</v>
      </c>
      <c r="AR58" s="205">
        <f t="shared" si="71"/>
        <v>0</v>
      </c>
      <c r="AS58" s="205">
        <f t="shared" si="72"/>
        <v>0</v>
      </c>
      <c r="AT58" s="209">
        <f t="shared" si="14"/>
        <v>3483</v>
      </c>
      <c r="AU58" s="209">
        <f t="shared" si="14"/>
        <v>0</v>
      </c>
      <c r="AV58" s="203"/>
      <c r="AW58" s="251">
        <f t="shared" si="78"/>
        <v>3483</v>
      </c>
      <c r="AX58" s="251"/>
      <c r="AY58" s="838">
        <f t="shared" si="56"/>
        <v>3483</v>
      </c>
      <c r="AZ58" s="838"/>
      <c r="BA58" s="838">
        <f t="shared" si="79"/>
        <v>0</v>
      </c>
    </row>
    <row r="59" spans="2:53" s="76" customFormat="1">
      <c r="B59" s="703">
        <f t="shared" si="17"/>
        <v>36</v>
      </c>
      <c r="C59" s="197" t="s">
        <v>1259</v>
      </c>
      <c r="D59" s="198"/>
      <c r="E59" s="703" t="s">
        <v>1261</v>
      </c>
      <c r="F59" s="703">
        <v>2</v>
      </c>
      <c r="G59" s="199">
        <v>3483</v>
      </c>
      <c r="H59" s="736"/>
      <c r="I59" s="199"/>
      <c r="J59" s="736"/>
      <c r="K59" s="199"/>
      <c r="L59" s="199"/>
      <c r="M59" s="736"/>
      <c r="N59" s="199"/>
      <c r="O59" s="736"/>
      <c r="P59" s="199"/>
      <c r="Q59" s="199"/>
      <c r="R59" s="199">
        <f t="shared" si="58"/>
        <v>3483</v>
      </c>
      <c r="S59" s="199">
        <v>1</v>
      </c>
      <c r="T59" s="206"/>
      <c r="U59" s="206"/>
      <c r="V59" s="741"/>
      <c r="W59" s="206"/>
      <c r="X59" s="718"/>
      <c r="Y59" s="737"/>
      <c r="Z59" s="199"/>
      <c r="AA59" s="199">
        <f t="shared" si="73"/>
        <v>3617</v>
      </c>
      <c r="AB59" s="199">
        <f t="shared" si="74"/>
        <v>7100</v>
      </c>
      <c r="AC59" s="738">
        <f t="shared" si="60"/>
        <v>0</v>
      </c>
      <c r="AD59" s="738">
        <f t="shared" si="75"/>
        <v>7100</v>
      </c>
      <c r="AE59" s="202">
        <f t="shared" si="76"/>
        <v>7100</v>
      </c>
      <c r="AF59" s="202">
        <f t="shared" si="63"/>
        <v>0</v>
      </c>
      <c r="AG59" s="738">
        <f>7100*S59</f>
        <v>7100</v>
      </c>
      <c r="AH59" s="202">
        <f t="shared" si="77"/>
        <v>3617</v>
      </c>
      <c r="AI59" s="203">
        <f t="shared" si="64"/>
        <v>3483</v>
      </c>
      <c r="AJ59" s="203">
        <f t="shared" si="65"/>
        <v>0</v>
      </c>
      <c r="AK59" s="203">
        <f t="shared" si="66"/>
        <v>3483</v>
      </c>
      <c r="AL59" s="203">
        <f>R59*T59</f>
        <v>0</v>
      </c>
      <c r="AM59" s="203">
        <f t="shared" si="67"/>
        <v>0</v>
      </c>
      <c r="AN59" s="203">
        <f t="shared" si="67"/>
        <v>0</v>
      </c>
      <c r="AO59" s="205">
        <f t="shared" si="68"/>
        <v>0</v>
      </c>
      <c r="AP59" s="205">
        <f t="shared" si="69"/>
        <v>0</v>
      </c>
      <c r="AQ59" s="205">
        <f t="shared" si="70"/>
        <v>3617</v>
      </c>
      <c r="AR59" s="205">
        <f t="shared" si="71"/>
        <v>0</v>
      </c>
      <c r="AS59" s="205">
        <f t="shared" si="72"/>
        <v>0</v>
      </c>
      <c r="AT59" s="209">
        <f t="shared" si="14"/>
        <v>3483</v>
      </c>
      <c r="AU59" s="209">
        <f t="shared" si="14"/>
        <v>0</v>
      </c>
      <c r="AV59" s="203"/>
      <c r="AW59" s="251">
        <f t="shared" si="78"/>
        <v>3483</v>
      </c>
      <c r="AX59" s="251"/>
      <c r="AY59" s="838">
        <f t="shared" si="56"/>
        <v>3483</v>
      </c>
      <c r="AZ59" s="838"/>
      <c r="BA59" s="838">
        <f t="shared" si="79"/>
        <v>0</v>
      </c>
    </row>
    <row r="60" spans="2:53" s="76" customFormat="1">
      <c r="B60" s="703"/>
      <c r="C60" s="213" t="s">
        <v>1871</v>
      </c>
      <c r="D60" s="198"/>
      <c r="E60" s="703"/>
      <c r="F60" s="703"/>
      <c r="G60" s="199"/>
      <c r="H60" s="736"/>
      <c r="I60" s="199"/>
      <c r="J60" s="736"/>
      <c r="K60" s="199"/>
      <c r="L60" s="199"/>
      <c r="M60" s="736"/>
      <c r="N60" s="199"/>
      <c r="O60" s="736"/>
      <c r="P60" s="199"/>
      <c r="Q60" s="199"/>
      <c r="R60" s="199"/>
      <c r="S60" s="199"/>
      <c r="T60" s="206"/>
      <c r="U60" s="206"/>
      <c r="V60" s="741"/>
      <c r="W60" s="206"/>
      <c r="X60" s="718"/>
      <c r="Y60" s="737"/>
      <c r="Z60" s="199"/>
      <c r="AA60" s="199"/>
      <c r="AB60" s="199"/>
      <c r="AC60" s="738"/>
      <c r="AD60" s="738"/>
      <c r="AE60" s="202"/>
      <c r="AF60" s="202"/>
      <c r="AG60" s="738"/>
      <c r="AH60" s="202"/>
      <c r="AI60" s="203"/>
      <c r="AJ60" s="203"/>
      <c r="AK60" s="203"/>
      <c r="AL60" s="203">
        <f t="shared" si="55"/>
        <v>0</v>
      </c>
      <c r="AM60" s="203"/>
      <c r="AN60" s="203"/>
      <c r="AO60" s="205"/>
      <c r="AP60" s="205"/>
      <c r="AQ60" s="205"/>
      <c r="AR60" s="205"/>
      <c r="AS60" s="205"/>
      <c r="AT60" s="209"/>
      <c r="AU60" s="209"/>
      <c r="AV60" s="203"/>
      <c r="AW60" s="251"/>
      <c r="AX60" s="251"/>
      <c r="AY60" s="838">
        <f t="shared" si="56"/>
        <v>0</v>
      </c>
      <c r="AZ60" s="838"/>
      <c r="BA60" s="838">
        <f t="shared" si="79"/>
        <v>0</v>
      </c>
    </row>
    <row r="61" spans="2:53" s="76" customFormat="1">
      <c r="B61" s="703">
        <f>B59+1</f>
        <v>37</v>
      </c>
      <c r="C61" s="211" t="s">
        <v>1236</v>
      </c>
      <c r="D61" s="198" t="s">
        <v>1237</v>
      </c>
      <c r="E61" s="206" t="s">
        <v>1238</v>
      </c>
      <c r="F61" s="703">
        <v>9</v>
      </c>
      <c r="G61" s="199">
        <v>5527</v>
      </c>
      <c r="H61" s="736"/>
      <c r="I61" s="199"/>
      <c r="J61" s="736"/>
      <c r="K61" s="199"/>
      <c r="L61" s="199"/>
      <c r="M61" s="736"/>
      <c r="N61" s="199"/>
      <c r="O61" s="736"/>
      <c r="P61" s="199"/>
      <c r="Q61" s="199"/>
      <c r="R61" s="199">
        <f t="shared" si="58"/>
        <v>5527</v>
      </c>
      <c r="S61" s="199">
        <v>1</v>
      </c>
      <c r="T61" s="206"/>
      <c r="U61" s="206"/>
      <c r="V61" s="741"/>
      <c r="W61" s="206"/>
      <c r="X61" s="718"/>
      <c r="Y61" s="737"/>
      <c r="Z61" s="199"/>
      <c r="AA61" s="199">
        <f t="shared" si="73"/>
        <v>1573</v>
      </c>
      <c r="AB61" s="199">
        <f t="shared" si="74"/>
        <v>7100</v>
      </c>
      <c r="AC61" s="738">
        <f t="shared" si="60"/>
        <v>0</v>
      </c>
      <c r="AD61" s="738">
        <f t="shared" si="75"/>
        <v>7100</v>
      </c>
      <c r="AE61" s="202">
        <f t="shared" si="76"/>
        <v>7100</v>
      </c>
      <c r="AF61" s="202">
        <f t="shared" si="63"/>
        <v>0</v>
      </c>
      <c r="AG61" s="738">
        <f>7100*S61</f>
        <v>7100</v>
      </c>
      <c r="AH61" s="202">
        <f t="shared" si="77"/>
        <v>1573</v>
      </c>
      <c r="AI61" s="203">
        <f t="shared" si="64"/>
        <v>5527</v>
      </c>
      <c r="AJ61" s="203">
        <f t="shared" si="65"/>
        <v>0</v>
      </c>
      <c r="AK61" s="203">
        <f t="shared" si="66"/>
        <v>5527</v>
      </c>
      <c r="AL61" s="203">
        <f t="shared" si="55"/>
        <v>0</v>
      </c>
      <c r="AM61" s="203">
        <f t="shared" si="67"/>
        <v>0</v>
      </c>
      <c r="AN61" s="203">
        <f t="shared" si="67"/>
        <v>0</v>
      </c>
      <c r="AO61" s="205">
        <f t="shared" si="68"/>
        <v>0</v>
      </c>
      <c r="AP61" s="205">
        <f t="shared" si="69"/>
        <v>0</v>
      </c>
      <c r="AQ61" s="205">
        <f t="shared" si="70"/>
        <v>1573</v>
      </c>
      <c r="AR61" s="205">
        <f t="shared" si="71"/>
        <v>0</v>
      </c>
      <c r="AS61" s="205">
        <f t="shared" si="72"/>
        <v>0</v>
      </c>
      <c r="AT61" s="209">
        <f t="shared" si="14"/>
        <v>5527</v>
      </c>
      <c r="AU61" s="209">
        <f t="shared" si="14"/>
        <v>0</v>
      </c>
      <c r="AV61" s="203"/>
      <c r="AW61" s="251">
        <f t="shared" si="78"/>
        <v>5527</v>
      </c>
      <c r="AX61" s="251">
        <f>13500*S61-AB61</f>
        <v>6400</v>
      </c>
      <c r="AY61" s="838">
        <f t="shared" si="56"/>
        <v>5527</v>
      </c>
      <c r="AZ61" s="838"/>
      <c r="BA61" s="838">
        <f t="shared" si="79"/>
        <v>6400</v>
      </c>
    </row>
    <row r="62" spans="2:53" s="76" customFormat="1" ht="63">
      <c r="B62" s="703">
        <f t="shared" si="17"/>
        <v>38</v>
      </c>
      <c r="C62" s="211" t="s">
        <v>1272</v>
      </c>
      <c r="D62" s="198"/>
      <c r="E62" s="206" t="s">
        <v>1273</v>
      </c>
      <c r="F62" s="206">
        <v>4</v>
      </c>
      <c r="G62" s="199">
        <v>4058</v>
      </c>
      <c r="H62" s="736"/>
      <c r="I62" s="199"/>
      <c r="J62" s="736"/>
      <c r="K62" s="199"/>
      <c r="L62" s="199"/>
      <c r="M62" s="736"/>
      <c r="N62" s="199"/>
      <c r="O62" s="736"/>
      <c r="P62" s="199"/>
      <c r="Q62" s="199"/>
      <c r="R62" s="199">
        <f t="shared" si="58"/>
        <v>4058</v>
      </c>
      <c r="S62" s="199">
        <v>1</v>
      </c>
      <c r="T62" s="206"/>
      <c r="U62" s="206"/>
      <c r="V62" s="741"/>
      <c r="W62" s="206"/>
      <c r="X62" s="718"/>
      <c r="Y62" s="737"/>
      <c r="Z62" s="199"/>
      <c r="AA62" s="199">
        <f t="shared" si="73"/>
        <v>3042</v>
      </c>
      <c r="AB62" s="199">
        <f t="shared" si="74"/>
        <v>7100</v>
      </c>
      <c r="AC62" s="738">
        <f t="shared" si="60"/>
        <v>0</v>
      </c>
      <c r="AD62" s="738">
        <f t="shared" si="75"/>
        <v>7100</v>
      </c>
      <c r="AE62" s="202">
        <f t="shared" si="76"/>
        <v>7100</v>
      </c>
      <c r="AF62" s="202">
        <f t="shared" si="63"/>
        <v>0</v>
      </c>
      <c r="AG62" s="738">
        <f>7100*S62</f>
        <v>7100</v>
      </c>
      <c r="AH62" s="202">
        <f t="shared" si="77"/>
        <v>3042</v>
      </c>
      <c r="AI62" s="203">
        <f t="shared" si="64"/>
        <v>4058</v>
      </c>
      <c r="AJ62" s="203">
        <f t="shared" si="65"/>
        <v>0</v>
      </c>
      <c r="AK62" s="203">
        <f t="shared" si="66"/>
        <v>4058</v>
      </c>
      <c r="AL62" s="203">
        <f t="shared" si="55"/>
        <v>0</v>
      </c>
      <c r="AM62" s="203">
        <f t="shared" si="67"/>
        <v>0</v>
      </c>
      <c r="AN62" s="203">
        <f t="shared" si="67"/>
        <v>0</v>
      </c>
      <c r="AO62" s="205">
        <f t="shared" si="68"/>
        <v>0</v>
      </c>
      <c r="AP62" s="205">
        <f t="shared" si="69"/>
        <v>0</v>
      </c>
      <c r="AQ62" s="205">
        <f t="shared" si="70"/>
        <v>3042</v>
      </c>
      <c r="AR62" s="205">
        <f>W62*S62</f>
        <v>0</v>
      </c>
      <c r="AS62" s="205">
        <f>W62*T62</f>
        <v>0</v>
      </c>
      <c r="AT62" s="209">
        <f t="shared" si="14"/>
        <v>4058</v>
      </c>
      <c r="AU62" s="209">
        <f t="shared" si="14"/>
        <v>0</v>
      </c>
      <c r="AV62" s="203"/>
      <c r="AW62" s="251">
        <f t="shared" si="78"/>
        <v>4058</v>
      </c>
      <c r="AX62" s="251"/>
      <c r="AY62" s="838">
        <f t="shared" si="56"/>
        <v>4058</v>
      </c>
      <c r="AZ62" s="838"/>
      <c r="BA62" s="838">
        <f t="shared" si="79"/>
        <v>0</v>
      </c>
    </row>
    <row r="63" spans="2:53" s="78" customFormat="1">
      <c r="B63" s="703">
        <f t="shared" si="17"/>
        <v>39</v>
      </c>
      <c r="C63" s="211" t="s">
        <v>1262</v>
      </c>
      <c r="D63" s="212"/>
      <c r="E63" s="206" t="s">
        <v>1263</v>
      </c>
      <c r="F63" s="206">
        <v>1</v>
      </c>
      <c r="G63" s="199">
        <v>3195</v>
      </c>
      <c r="H63" s="736"/>
      <c r="I63" s="199"/>
      <c r="J63" s="736"/>
      <c r="K63" s="199"/>
      <c r="L63" s="199"/>
      <c r="M63" s="736"/>
      <c r="N63" s="199"/>
      <c r="O63" s="736"/>
      <c r="P63" s="199"/>
      <c r="Q63" s="199"/>
      <c r="R63" s="199">
        <f t="shared" si="58"/>
        <v>3195</v>
      </c>
      <c r="S63" s="199">
        <f>0.5+0.5</f>
        <v>1</v>
      </c>
      <c r="T63" s="206"/>
      <c r="U63" s="206"/>
      <c r="V63" s="741"/>
      <c r="W63" s="206"/>
      <c r="X63" s="718"/>
      <c r="Y63" s="737"/>
      <c r="Z63" s="199"/>
      <c r="AA63" s="199">
        <f t="shared" si="73"/>
        <v>3905</v>
      </c>
      <c r="AB63" s="199">
        <f t="shared" si="74"/>
        <v>7100</v>
      </c>
      <c r="AC63" s="738">
        <f t="shared" si="60"/>
        <v>0</v>
      </c>
      <c r="AD63" s="738">
        <f t="shared" si="75"/>
        <v>7100</v>
      </c>
      <c r="AE63" s="202">
        <f t="shared" si="76"/>
        <v>7100</v>
      </c>
      <c r="AF63" s="202">
        <f t="shared" si="63"/>
        <v>0</v>
      </c>
      <c r="AG63" s="738">
        <f>7100*S63</f>
        <v>7100</v>
      </c>
      <c r="AH63" s="202">
        <f t="shared" si="77"/>
        <v>3905</v>
      </c>
      <c r="AI63" s="203">
        <f t="shared" si="64"/>
        <v>3195</v>
      </c>
      <c r="AJ63" s="203">
        <f t="shared" si="65"/>
        <v>0</v>
      </c>
      <c r="AK63" s="203">
        <f t="shared" si="66"/>
        <v>3195</v>
      </c>
      <c r="AL63" s="203">
        <f t="shared" si="55"/>
        <v>0</v>
      </c>
      <c r="AM63" s="203">
        <f t="shared" si="67"/>
        <v>0</v>
      </c>
      <c r="AN63" s="203">
        <f t="shared" si="67"/>
        <v>0</v>
      </c>
      <c r="AO63" s="205">
        <f t="shared" si="68"/>
        <v>0</v>
      </c>
      <c r="AP63" s="205">
        <f t="shared" si="69"/>
        <v>0</v>
      </c>
      <c r="AQ63" s="205">
        <f t="shared" si="70"/>
        <v>3905</v>
      </c>
      <c r="AR63" s="205">
        <f t="shared" si="71"/>
        <v>0</v>
      </c>
      <c r="AS63" s="205">
        <f t="shared" si="72"/>
        <v>0</v>
      </c>
      <c r="AT63" s="209">
        <f t="shared" si="14"/>
        <v>3195</v>
      </c>
      <c r="AU63" s="209">
        <f t="shared" si="14"/>
        <v>0</v>
      </c>
      <c r="AV63" s="203"/>
      <c r="AW63" s="251">
        <f t="shared" si="78"/>
        <v>3195</v>
      </c>
      <c r="AX63" s="251"/>
      <c r="AY63" s="838">
        <f t="shared" si="56"/>
        <v>3195</v>
      </c>
      <c r="AZ63" s="838"/>
      <c r="BA63" s="838">
        <f t="shared" si="79"/>
        <v>0</v>
      </c>
    </row>
    <row r="64" spans="2:53" s="79" customFormat="1">
      <c r="B64" s="703">
        <f t="shared" si="17"/>
        <v>40</v>
      </c>
      <c r="C64" s="211" t="s">
        <v>1264</v>
      </c>
      <c r="D64" s="198" t="s">
        <v>1265</v>
      </c>
      <c r="E64" s="206" t="s">
        <v>1266</v>
      </c>
      <c r="F64" s="703">
        <v>5</v>
      </c>
      <c r="G64" s="199">
        <v>4345</v>
      </c>
      <c r="H64" s="736"/>
      <c r="I64" s="199"/>
      <c r="J64" s="736"/>
      <c r="K64" s="199"/>
      <c r="L64" s="199"/>
      <c r="M64" s="736"/>
      <c r="N64" s="199"/>
      <c r="O64" s="736"/>
      <c r="P64" s="199"/>
      <c r="Q64" s="199"/>
      <c r="R64" s="199">
        <f t="shared" si="58"/>
        <v>4345</v>
      </c>
      <c r="S64" s="199">
        <v>0.5</v>
      </c>
      <c r="T64" s="206"/>
      <c r="U64" s="206"/>
      <c r="V64" s="741"/>
      <c r="W64" s="206"/>
      <c r="X64" s="718"/>
      <c r="Y64" s="737"/>
      <c r="Z64" s="199"/>
      <c r="AA64" s="199">
        <f t="shared" si="73"/>
        <v>1377.5</v>
      </c>
      <c r="AB64" s="199">
        <f>(R64+Z64+U64+W64)*S64+AA64</f>
        <v>3550</v>
      </c>
      <c r="AC64" s="738">
        <f t="shared" si="60"/>
        <v>0</v>
      </c>
      <c r="AD64" s="738">
        <f t="shared" si="75"/>
        <v>3550</v>
      </c>
      <c r="AE64" s="202">
        <f t="shared" si="76"/>
        <v>3550</v>
      </c>
      <c r="AF64" s="202">
        <f t="shared" si="63"/>
        <v>0</v>
      </c>
      <c r="AG64" s="738">
        <f>7100*S64</f>
        <v>3550</v>
      </c>
      <c r="AH64" s="202">
        <f t="shared" si="77"/>
        <v>1377.5</v>
      </c>
      <c r="AI64" s="203">
        <f>G64*S64</f>
        <v>2172.5</v>
      </c>
      <c r="AJ64" s="203">
        <f t="shared" si="65"/>
        <v>0</v>
      </c>
      <c r="AK64" s="203">
        <f t="shared" si="66"/>
        <v>2172.5</v>
      </c>
      <c r="AL64" s="203">
        <f t="shared" si="55"/>
        <v>0</v>
      </c>
      <c r="AM64" s="203">
        <f t="shared" si="67"/>
        <v>0</v>
      </c>
      <c r="AN64" s="203">
        <f t="shared" si="67"/>
        <v>0</v>
      </c>
      <c r="AO64" s="205">
        <f t="shared" si="68"/>
        <v>0</v>
      </c>
      <c r="AP64" s="205">
        <f t="shared" si="69"/>
        <v>0</v>
      </c>
      <c r="AQ64" s="205">
        <f t="shared" si="70"/>
        <v>1377.5</v>
      </c>
      <c r="AR64" s="205">
        <f t="shared" si="71"/>
        <v>0</v>
      </c>
      <c r="AS64" s="205">
        <f t="shared" si="72"/>
        <v>0</v>
      </c>
      <c r="AT64" s="209">
        <f t="shared" si="14"/>
        <v>2172.5</v>
      </c>
      <c r="AU64" s="209">
        <f t="shared" si="14"/>
        <v>0</v>
      </c>
      <c r="AV64" s="203"/>
      <c r="AW64" s="251">
        <f t="shared" si="78"/>
        <v>2172.5</v>
      </c>
      <c r="AX64" s="251"/>
      <c r="AY64" s="838">
        <f t="shared" si="56"/>
        <v>2172.5</v>
      </c>
      <c r="AZ64" s="838"/>
      <c r="BA64" s="838">
        <f t="shared" si="79"/>
        <v>0</v>
      </c>
    </row>
    <row r="65" spans="2:53" s="76" customFormat="1" ht="63">
      <c r="B65" s="703">
        <f t="shared" si="17"/>
        <v>41</v>
      </c>
      <c r="C65" s="197" t="s">
        <v>270</v>
      </c>
      <c r="D65" s="198" t="s">
        <v>271</v>
      </c>
      <c r="E65" s="703" t="s">
        <v>1254</v>
      </c>
      <c r="F65" s="703">
        <v>5</v>
      </c>
      <c r="G65" s="199">
        <v>4345</v>
      </c>
      <c r="H65" s="736"/>
      <c r="I65" s="199"/>
      <c r="J65" s="736"/>
      <c r="K65" s="199"/>
      <c r="L65" s="199"/>
      <c r="M65" s="736"/>
      <c r="N65" s="199"/>
      <c r="O65" s="736"/>
      <c r="P65" s="199"/>
      <c r="Q65" s="199"/>
      <c r="R65" s="199">
        <f t="shared" si="58"/>
        <v>4345</v>
      </c>
      <c r="S65" s="199"/>
      <c r="T65" s="206">
        <v>0.5</v>
      </c>
      <c r="U65" s="206"/>
      <c r="V65" s="741"/>
      <c r="W65" s="206"/>
      <c r="X65" s="718"/>
      <c r="Y65" s="737"/>
      <c r="Z65" s="199"/>
      <c r="AA65" s="199">
        <f t="shared" si="73"/>
        <v>1377.5</v>
      </c>
      <c r="AB65" s="199">
        <f>(R65+Z65+U65+W65)*T65+AA65</f>
        <v>3550</v>
      </c>
      <c r="AC65" s="738">
        <f t="shared" si="60"/>
        <v>0</v>
      </c>
      <c r="AD65" s="738">
        <f>AB65+AC65</f>
        <v>3550</v>
      </c>
      <c r="AE65" s="202">
        <f>AB65</f>
        <v>3550</v>
      </c>
      <c r="AF65" s="202">
        <f>AE65-AB65</f>
        <v>0</v>
      </c>
      <c r="AG65" s="738">
        <f>7100*T65</f>
        <v>3550</v>
      </c>
      <c r="AH65" s="202">
        <f>AG65-(R65*T65)</f>
        <v>1377.5</v>
      </c>
      <c r="AI65" s="203">
        <f>G65*T65</f>
        <v>2172.5</v>
      </c>
      <c r="AJ65" s="203">
        <f>G65*T65</f>
        <v>2172.5</v>
      </c>
      <c r="AK65" s="203">
        <f>R65*T65</f>
        <v>2172.5</v>
      </c>
      <c r="AL65" s="203">
        <f t="shared" si="55"/>
        <v>2172.5</v>
      </c>
      <c r="AM65" s="203">
        <f t="shared" si="67"/>
        <v>0</v>
      </c>
      <c r="AN65" s="203">
        <f t="shared" si="67"/>
        <v>0</v>
      </c>
      <c r="AO65" s="205">
        <f t="shared" si="68"/>
        <v>0</v>
      </c>
      <c r="AP65" s="205">
        <f t="shared" si="69"/>
        <v>0</v>
      </c>
      <c r="AQ65" s="205">
        <f t="shared" si="70"/>
        <v>1377.5</v>
      </c>
      <c r="AR65" s="205">
        <f t="shared" si="71"/>
        <v>0</v>
      </c>
      <c r="AS65" s="205">
        <f t="shared" si="72"/>
        <v>0</v>
      </c>
      <c r="AT65" s="209">
        <f t="shared" si="14"/>
        <v>2172.5</v>
      </c>
      <c r="AU65" s="209">
        <f t="shared" si="14"/>
        <v>2172.5</v>
      </c>
      <c r="AV65" s="203"/>
      <c r="AW65" s="251">
        <f>R65*T65</f>
        <v>2172.5</v>
      </c>
      <c r="AX65" s="251"/>
      <c r="AY65" s="838">
        <f t="shared" si="56"/>
        <v>2172.5</v>
      </c>
      <c r="AZ65" s="838"/>
      <c r="BA65" s="838">
        <f t="shared" si="79"/>
        <v>0</v>
      </c>
    </row>
    <row r="66" spans="2:53" s="76" customFormat="1" ht="63">
      <c r="B66" s="703">
        <f t="shared" si="17"/>
        <v>42</v>
      </c>
      <c r="C66" s="197" t="s">
        <v>270</v>
      </c>
      <c r="D66" s="198" t="s">
        <v>267</v>
      </c>
      <c r="E66" s="703" t="s">
        <v>266</v>
      </c>
      <c r="F66" s="703">
        <v>4</v>
      </c>
      <c r="G66" s="199">
        <v>4058</v>
      </c>
      <c r="H66" s="736"/>
      <c r="I66" s="199"/>
      <c r="J66" s="736"/>
      <c r="K66" s="199"/>
      <c r="L66" s="199"/>
      <c r="M66" s="736"/>
      <c r="N66" s="199"/>
      <c r="O66" s="736"/>
      <c r="P66" s="199"/>
      <c r="Q66" s="199"/>
      <c r="R66" s="199">
        <f>G66+I66+K66+L66+N66+P66+Q66</f>
        <v>4058</v>
      </c>
      <c r="S66" s="199">
        <v>1</v>
      </c>
      <c r="T66" s="206"/>
      <c r="U66" s="206"/>
      <c r="V66" s="741"/>
      <c r="W66" s="206"/>
      <c r="X66" s="718"/>
      <c r="Y66" s="737"/>
      <c r="Z66" s="199"/>
      <c r="AA66" s="199">
        <f>AH66</f>
        <v>3042</v>
      </c>
      <c r="AB66" s="199">
        <f>(R66+Z66+U66+W66)*S66+AA66</f>
        <v>7100</v>
      </c>
      <c r="AC66" s="738">
        <f>AF66</f>
        <v>0</v>
      </c>
      <c r="AD66" s="738">
        <f t="shared" si="61"/>
        <v>7100</v>
      </c>
      <c r="AE66" s="202">
        <f t="shared" si="62"/>
        <v>7100</v>
      </c>
      <c r="AF66" s="202">
        <f>AE66-AB66</f>
        <v>0</v>
      </c>
      <c r="AG66" s="738">
        <f>7100*S66</f>
        <v>7100</v>
      </c>
      <c r="AH66" s="202">
        <f>AG66-(R66*S66)</f>
        <v>3042</v>
      </c>
      <c r="AI66" s="203">
        <f>G66*S66</f>
        <v>4058</v>
      </c>
      <c r="AJ66" s="203">
        <f>G66*T66</f>
        <v>0</v>
      </c>
      <c r="AK66" s="203">
        <f>R66*S66</f>
        <v>4058</v>
      </c>
      <c r="AL66" s="203">
        <f t="shared" si="55"/>
        <v>0</v>
      </c>
      <c r="AM66" s="203">
        <f>AK66-AI66</f>
        <v>0</v>
      </c>
      <c r="AN66" s="203">
        <f>AL66-AJ66</f>
        <v>0</v>
      </c>
      <c r="AO66" s="205">
        <f>Z66*S66</f>
        <v>0</v>
      </c>
      <c r="AP66" s="205">
        <f>Z66*S66</f>
        <v>0</v>
      </c>
      <c r="AQ66" s="205">
        <f>AA66</f>
        <v>3042</v>
      </c>
      <c r="AR66" s="205">
        <f>W66*S66</f>
        <v>0</v>
      </c>
      <c r="AS66" s="205">
        <f>W66*T66</f>
        <v>0</v>
      </c>
      <c r="AT66" s="209">
        <f t="shared" si="14"/>
        <v>4058</v>
      </c>
      <c r="AU66" s="209">
        <f t="shared" si="14"/>
        <v>0</v>
      </c>
      <c r="AV66" s="203"/>
      <c r="AW66" s="251">
        <f>R66*S66</f>
        <v>4058</v>
      </c>
      <c r="AX66" s="251"/>
      <c r="AY66" s="838">
        <f t="shared" si="56"/>
        <v>4058</v>
      </c>
      <c r="AZ66" s="838"/>
      <c r="BA66" s="838">
        <f t="shared" si="79"/>
        <v>0</v>
      </c>
    </row>
    <row r="67" spans="2:53" s="76" customFormat="1" ht="63">
      <c r="B67" s="703">
        <f t="shared" si="17"/>
        <v>43</v>
      </c>
      <c r="C67" s="197" t="s">
        <v>1267</v>
      </c>
      <c r="D67" s="198"/>
      <c r="E67" s="703" t="s">
        <v>1822</v>
      </c>
      <c r="F67" s="703">
        <v>3</v>
      </c>
      <c r="G67" s="199">
        <v>3770</v>
      </c>
      <c r="H67" s="736"/>
      <c r="I67" s="199"/>
      <c r="J67" s="736"/>
      <c r="K67" s="199"/>
      <c r="L67" s="199"/>
      <c r="M67" s="736"/>
      <c r="N67" s="199"/>
      <c r="O67" s="736"/>
      <c r="P67" s="199"/>
      <c r="Q67" s="199"/>
      <c r="R67" s="199">
        <f t="shared" ref="R67:R73" si="80">G67+I67+K67+L67+N67+P67+Q67</f>
        <v>3770</v>
      </c>
      <c r="S67" s="199">
        <v>1</v>
      </c>
      <c r="T67" s="206"/>
      <c r="U67" s="206"/>
      <c r="V67" s="741"/>
      <c r="W67" s="206"/>
      <c r="X67" s="718"/>
      <c r="Y67" s="737"/>
      <c r="Z67" s="199"/>
      <c r="AA67" s="199">
        <f>AH67</f>
        <v>3330</v>
      </c>
      <c r="AB67" s="199">
        <f>(R67+AA67)*S67</f>
        <v>7100</v>
      </c>
      <c r="AC67" s="738">
        <f t="shared" ref="AC67:AC73" si="81">AF67</f>
        <v>0</v>
      </c>
      <c r="AD67" s="738">
        <f t="shared" si="61"/>
        <v>7100</v>
      </c>
      <c r="AE67" s="202">
        <f t="shared" si="62"/>
        <v>7100</v>
      </c>
      <c r="AF67" s="202">
        <f t="shared" ref="AF67:AF73" si="82">AE67-AB67</f>
        <v>0</v>
      </c>
      <c r="AG67" s="738">
        <f>7100*S67</f>
        <v>7100</v>
      </c>
      <c r="AH67" s="202">
        <f t="shared" ref="AH67:AH73" si="83">AG67-(R67*S67)</f>
        <v>3330</v>
      </c>
      <c r="AI67" s="203">
        <f t="shared" ref="AI67:AI73" si="84">G67*S67</f>
        <v>3770</v>
      </c>
      <c r="AJ67" s="203">
        <f>G67*T67</f>
        <v>0</v>
      </c>
      <c r="AK67" s="203">
        <f t="shared" ref="AK67:AK73" si="85">R67*S67</f>
        <v>3770</v>
      </c>
      <c r="AL67" s="203">
        <f t="shared" si="55"/>
        <v>0</v>
      </c>
      <c r="AM67" s="203">
        <f t="shared" ref="AM67:AN73" si="86">AK67-AI67</f>
        <v>0</v>
      </c>
      <c r="AN67" s="203">
        <f>AL67-AJ67</f>
        <v>0</v>
      </c>
      <c r="AO67" s="205">
        <f t="shared" ref="AO67:AO73" si="87">Z67*S67</f>
        <v>0</v>
      </c>
      <c r="AP67" s="205">
        <f t="shared" ref="AP67:AP73" si="88">Z67*T67</f>
        <v>0</v>
      </c>
      <c r="AQ67" s="205">
        <f t="shared" ref="AQ67:AQ73" si="89">AA67</f>
        <v>3330</v>
      </c>
      <c r="AR67" s="205">
        <f>W67*S67</f>
        <v>0</v>
      </c>
      <c r="AS67" s="205">
        <f>W67*T67</f>
        <v>0</v>
      </c>
      <c r="AT67" s="209">
        <f t="shared" si="14"/>
        <v>3770</v>
      </c>
      <c r="AU67" s="209">
        <f>AL67</f>
        <v>0</v>
      </c>
      <c r="AV67" s="203"/>
      <c r="AW67" s="251">
        <f>R67*S67</f>
        <v>3770</v>
      </c>
      <c r="AX67" s="251"/>
      <c r="AY67" s="838">
        <f t="shared" si="56"/>
        <v>3770</v>
      </c>
      <c r="AZ67" s="838"/>
      <c r="BA67" s="838">
        <f t="shared" si="79"/>
        <v>0</v>
      </c>
    </row>
    <row r="68" spans="2:53" s="76" customFormat="1">
      <c r="B68" s="703"/>
      <c r="C68" s="213" t="s">
        <v>1872</v>
      </c>
      <c r="D68" s="198"/>
      <c r="E68" s="703"/>
      <c r="F68" s="703"/>
      <c r="G68" s="199"/>
      <c r="H68" s="736"/>
      <c r="I68" s="199"/>
      <c r="J68" s="736"/>
      <c r="K68" s="199"/>
      <c r="L68" s="199"/>
      <c r="M68" s="736"/>
      <c r="N68" s="199"/>
      <c r="O68" s="736"/>
      <c r="P68" s="199"/>
      <c r="Q68" s="199"/>
      <c r="R68" s="199"/>
      <c r="S68" s="199"/>
      <c r="T68" s="206"/>
      <c r="U68" s="206"/>
      <c r="V68" s="741"/>
      <c r="W68" s="206"/>
      <c r="X68" s="718"/>
      <c r="Y68" s="737"/>
      <c r="Z68" s="199"/>
      <c r="AA68" s="199"/>
      <c r="AB68" s="199"/>
      <c r="AC68" s="738"/>
      <c r="AD68" s="738"/>
      <c r="AE68" s="202"/>
      <c r="AF68" s="202"/>
      <c r="AG68" s="738"/>
      <c r="AH68" s="202"/>
      <c r="AI68" s="203"/>
      <c r="AJ68" s="203"/>
      <c r="AK68" s="203"/>
      <c r="AL68" s="203">
        <f t="shared" si="55"/>
        <v>0</v>
      </c>
      <c r="AM68" s="203"/>
      <c r="AN68" s="203"/>
      <c r="AO68" s="205"/>
      <c r="AP68" s="205"/>
      <c r="AQ68" s="205"/>
      <c r="AR68" s="205"/>
      <c r="AS68" s="205"/>
      <c r="AT68" s="209"/>
      <c r="AU68" s="209"/>
      <c r="AV68" s="203"/>
      <c r="AW68" s="251"/>
      <c r="AX68" s="251"/>
      <c r="AY68" s="838">
        <f t="shared" si="56"/>
        <v>0</v>
      </c>
      <c r="AZ68" s="838"/>
      <c r="BA68" s="838">
        <f t="shared" si="79"/>
        <v>0</v>
      </c>
    </row>
    <row r="69" spans="2:53" s="76" customFormat="1">
      <c r="B69" s="703">
        <f>B67+1</f>
        <v>44</v>
      </c>
      <c r="C69" s="211" t="s">
        <v>1268</v>
      </c>
      <c r="D69" s="198"/>
      <c r="E69" s="206" t="s">
        <v>1379</v>
      </c>
      <c r="F69" s="206">
        <v>1</v>
      </c>
      <c r="G69" s="199">
        <v>3195</v>
      </c>
      <c r="H69" s="736"/>
      <c r="I69" s="199"/>
      <c r="J69" s="736"/>
      <c r="K69" s="199"/>
      <c r="L69" s="199"/>
      <c r="M69" s="736"/>
      <c r="N69" s="199"/>
      <c r="O69" s="736"/>
      <c r="P69" s="199"/>
      <c r="Q69" s="199"/>
      <c r="R69" s="199">
        <f t="shared" si="80"/>
        <v>3195</v>
      </c>
      <c r="S69" s="199">
        <v>1</v>
      </c>
      <c r="T69" s="206"/>
      <c r="U69" s="206"/>
      <c r="V69" s="737">
        <v>0.1</v>
      </c>
      <c r="W69" s="199">
        <f>R69*V69</f>
        <v>319.5</v>
      </c>
      <c r="X69" s="718"/>
      <c r="Y69" s="737"/>
      <c r="Z69" s="199"/>
      <c r="AA69" s="199">
        <f t="shared" ref="AA69:AA74" si="90">AH69</f>
        <v>3905</v>
      </c>
      <c r="AB69" s="199">
        <f>(R69+AA69)*S69+W69</f>
        <v>7419.5</v>
      </c>
      <c r="AC69" s="738">
        <f t="shared" si="81"/>
        <v>0</v>
      </c>
      <c r="AD69" s="738">
        <f t="shared" si="61"/>
        <v>7419.5</v>
      </c>
      <c r="AE69" s="202">
        <f t="shared" si="62"/>
        <v>7419.5</v>
      </c>
      <c r="AF69" s="202">
        <f t="shared" si="82"/>
        <v>0</v>
      </c>
      <c r="AG69" s="738">
        <f t="shared" ref="AG69:AG74" si="91">7100*S69</f>
        <v>7100</v>
      </c>
      <c r="AH69" s="202">
        <f>AG69-(R69*S69)</f>
        <v>3905</v>
      </c>
      <c r="AI69" s="203">
        <f t="shared" si="84"/>
        <v>3195</v>
      </c>
      <c r="AJ69" s="203">
        <f t="shared" ref="AJ69:AJ74" si="92">G69*T69</f>
        <v>0</v>
      </c>
      <c r="AK69" s="203">
        <f t="shared" si="85"/>
        <v>3195</v>
      </c>
      <c r="AL69" s="203">
        <f>R69*T69</f>
        <v>0</v>
      </c>
      <c r="AM69" s="203">
        <f t="shared" si="86"/>
        <v>0</v>
      </c>
      <c r="AN69" s="203">
        <f t="shared" si="86"/>
        <v>0</v>
      </c>
      <c r="AO69" s="205">
        <f t="shared" si="87"/>
        <v>0</v>
      </c>
      <c r="AP69" s="205">
        <f t="shared" si="88"/>
        <v>0</v>
      </c>
      <c r="AQ69" s="205">
        <f t="shared" si="89"/>
        <v>3905</v>
      </c>
      <c r="AR69" s="205">
        <f t="shared" ref="AR69:AR74" si="93">W69*S69</f>
        <v>319.5</v>
      </c>
      <c r="AS69" s="205">
        <f t="shared" ref="AS69:AS74" si="94">W69*T69</f>
        <v>0</v>
      </c>
      <c r="AT69" s="209">
        <f t="shared" si="14"/>
        <v>3195</v>
      </c>
      <c r="AU69" s="209">
        <f t="shared" si="14"/>
        <v>0</v>
      </c>
      <c r="AV69" s="203"/>
      <c r="AW69" s="251">
        <f>R69*S69</f>
        <v>3195</v>
      </c>
      <c r="AX69" s="251"/>
      <c r="AY69" s="838">
        <f t="shared" si="56"/>
        <v>3195</v>
      </c>
      <c r="AZ69" s="838"/>
      <c r="BA69" s="838">
        <f t="shared" si="79"/>
        <v>0</v>
      </c>
    </row>
    <row r="70" spans="2:53" s="76" customFormat="1">
      <c r="B70" s="703">
        <f t="shared" si="17"/>
        <v>45</v>
      </c>
      <c r="C70" s="211" t="s">
        <v>1268</v>
      </c>
      <c r="D70" s="198"/>
      <c r="E70" s="206" t="s">
        <v>1269</v>
      </c>
      <c r="F70" s="206">
        <v>1</v>
      </c>
      <c r="G70" s="199">
        <v>3195</v>
      </c>
      <c r="H70" s="736"/>
      <c r="I70" s="199"/>
      <c r="J70" s="736"/>
      <c r="K70" s="199"/>
      <c r="L70" s="199"/>
      <c r="M70" s="736"/>
      <c r="N70" s="199"/>
      <c r="O70" s="736"/>
      <c r="P70" s="199"/>
      <c r="Q70" s="199"/>
      <c r="R70" s="199">
        <f t="shared" si="80"/>
        <v>3195</v>
      </c>
      <c r="S70" s="199">
        <v>1</v>
      </c>
      <c r="T70" s="206"/>
      <c r="U70" s="206"/>
      <c r="V70" s="737">
        <v>0.1</v>
      </c>
      <c r="W70" s="199">
        <f>R70*V70</f>
        <v>319.5</v>
      </c>
      <c r="X70" s="718"/>
      <c r="Y70" s="737"/>
      <c r="Z70" s="199"/>
      <c r="AA70" s="199">
        <f t="shared" si="90"/>
        <v>3905</v>
      </c>
      <c r="AB70" s="199">
        <f>(R70+AA70)*S70+W70</f>
        <v>7419.5</v>
      </c>
      <c r="AC70" s="738">
        <f t="shared" si="81"/>
        <v>0</v>
      </c>
      <c r="AD70" s="738">
        <f t="shared" si="61"/>
        <v>7419.5</v>
      </c>
      <c r="AE70" s="202">
        <f t="shared" si="62"/>
        <v>7419.5</v>
      </c>
      <c r="AF70" s="202">
        <f t="shared" si="82"/>
        <v>0</v>
      </c>
      <c r="AG70" s="738">
        <f t="shared" si="91"/>
        <v>7100</v>
      </c>
      <c r="AH70" s="202">
        <f t="shared" si="83"/>
        <v>3905</v>
      </c>
      <c r="AI70" s="203">
        <f t="shared" si="84"/>
        <v>3195</v>
      </c>
      <c r="AJ70" s="203">
        <f t="shared" si="92"/>
        <v>0</v>
      </c>
      <c r="AK70" s="203">
        <f t="shared" si="85"/>
        <v>3195</v>
      </c>
      <c r="AL70" s="203">
        <f t="shared" si="55"/>
        <v>0</v>
      </c>
      <c r="AM70" s="203">
        <f t="shared" si="86"/>
        <v>0</v>
      </c>
      <c r="AN70" s="203">
        <f t="shared" si="86"/>
        <v>0</v>
      </c>
      <c r="AO70" s="205">
        <f t="shared" si="87"/>
        <v>0</v>
      </c>
      <c r="AP70" s="205">
        <f t="shared" si="88"/>
        <v>0</v>
      </c>
      <c r="AQ70" s="205">
        <f t="shared" si="89"/>
        <v>3905</v>
      </c>
      <c r="AR70" s="205">
        <f t="shared" si="93"/>
        <v>319.5</v>
      </c>
      <c r="AS70" s="205">
        <f t="shared" si="94"/>
        <v>0</v>
      </c>
      <c r="AT70" s="209">
        <f t="shared" si="14"/>
        <v>3195</v>
      </c>
      <c r="AU70" s="209">
        <f t="shared" si="14"/>
        <v>0</v>
      </c>
      <c r="AV70" s="203"/>
      <c r="AW70" s="251">
        <f t="shared" ref="AW70:AW84" si="95">R70*S70</f>
        <v>3195</v>
      </c>
      <c r="AX70" s="251"/>
      <c r="AY70" s="838">
        <f t="shared" si="56"/>
        <v>3195</v>
      </c>
      <c r="AZ70" s="838"/>
      <c r="BA70" s="838">
        <f t="shared" si="79"/>
        <v>0</v>
      </c>
    </row>
    <row r="71" spans="2:53" s="76" customFormat="1">
      <c r="B71" s="703">
        <f t="shared" si="17"/>
        <v>46</v>
      </c>
      <c r="C71" s="211" t="s">
        <v>1268</v>
      </c>
      <c r="D71" s="198"/>
      <c r="E71" s="206" t="s">
        <v>1823</v>
      </c>
      <c r="F71" s="206">
        <v>1</v>
      </c>
      <c r="G71" s="199">
        <v>3195</v>
      </c>
      <c r="H71" s="736"/>
      <c r="I71" s="199"/>
      <c r="J71" s="736"/>
      <c r="K71" s="199"/>
      <c r="L71" s="199"/>
      <c r="M71" s="736"/>
      <c r="N71" s="199"/>
      <c r="O71" s="736"/>
      <c r="P71" s="199"/>
      <c r="Q71" s="199"/>
      <c r="R71" s="199">
        <f t="shared" si="80"/>
        <v>3195</v>
      </c>
      <c r="S71" s="199">
        <v>1</v>
      </c>
      <c r="T71" s="206"/>
      <c r="U71" s="206"/>
      <c r="V71" s="737">
        <v>0.1</v>
      </c>
      <c r="W71" s="199">
        <f>R71*V71</f>
        <v>319.5</v>
      </c>
      <c r="X71" s="718"/>
      <c r="Y71" s="737"/>
      <c r="Z71" s="199"/>
      <c r="AA71" s="199">
        <f t="shared" si="90"/>
        <v>3905</v>
      </c>
      <c r="AB71" s="199">
        <f>(R71+Z71+U71+W71)*S71+AA71</f>
        <v>7419.5</v>
      </c>
      <c r="AC71" s="738">
        <f t="shared" si="81"/>
        <v>0</v>
      </c>
      <c r="AD71" s="738">
        <f t="shared" si="61"/>
        <v>7419.5</v>
      </c>
      <c r="AE71" s="202">
        <f t="shared" si="62"/>
        <v>7419.5</v>
      </c>
      <c r="AF71" s="202">
        <f t="shared" si="82"/>
        <v>0</v>
      </c>
      <c r="AG71" s="738">
        <f t="shared" si="91"/>
        <v>7100</v>
      </c>
      <c r="AH71" s="202">
        <f t="shared" si="83"/>
        <v>3905</v>
      </c>
      <c r="AI71" s="203">
        <f t="shared" si="84"/>
        <v>3195</v>
      </c>
      <c r="AJ71" s="203">
        <f t="shared" si="92"/>
        <v>0</v>
      </c>
      <c r="AK71" s="203">
        <f t="shared" si="85"/>
        <v>3195</v>
      </c>
      <c r="AL71" s="203">
        <f t="shared" si="55"/>
        <v>0</v>
      </c>
      <c r="AM71" s="203">
        <f t="shared" si="86"/>
        <v>0</v>
      </c>
      <c r="AN71" s="203">
        <f t="shared" si="86"/>
        <v>0</v>
      </c>
      <c r="AO71" s="205">
        <f t="shared" si="87"/>
        <v>0</v>
      </c>
      <c r="AP71" s="205">
        <f t="shared" si="88"/>
        <v>0</v>
      </c>
      <c r="AQ71" s="205">
        <f t="shared" si="89"/>
        <v>3905</v>
      </c>
      <c r="AR71" s="205">
        <f t="shared" si="93"/>
        <v>319.5</v>
      </c>
      <c r="AS71" s="205">
        <f t="shared" si="94"/>
        <v>0</v>
      </c>
      <c r="AT71" s="209">
        <f t="shared" si="14"/>
        <v>3195</v>
      </c>
      <c r="AU71" s="209">
        <f t="shared" si="14"/>
        <v>0</v>
      </c>
      <c r="AV71" s="203"/>
      <c r="AW71" s="251">
        <f t="shared" si="95"/>
        <v>3195</v>
      </c>
      <c r="AX71" s="251"/>
      <c r="AY71" s="838">
        <f t="shared" si="56"/>
        <v>3195</v>
      </c>
      <c r="AZ71" s="838"/>
      <c r="BA71" s="838">
        <f t="shared" si="79"/>
        <v>0</v>
      </c>
    </row>
    <row r="72" spans="2:53" s="76" customFormat="1">
      <c r="B72" s="703">
        <f t="shared" si="17"/>
        <v>47</v>
      </c>
      <c r="C72" s="211" t="s">
        <v>1268</v>
      </c>
      <c r="D72" s="198"/>
      <c r="E72" s="206" t="s">
        <v>142</v>
      </c>
      <c r="F72" s="206">
        <v>1</v>
      </c>
      <c r="G72" s="199">
        <v>3195</v>
      </c>
      <c r="H72" s="736"/>
      <c r="I72" s="199"/>
      <c r="J72" s="736"/>
      <c r="K72" s="199"/>
      <c r="L72" s="199"/>
      <c r="M72" s="736"/>
      <c r="N72" s="199"/>
      <c r="O72" s="736"/>
      <c r="P72" s="199"/>
      <c r="Q72" s="199"/>
      <c r="R72" s="199">
        <f t="shared" si="80"/>
        <v>3195</v>
      </c>
      <c r="S72" s="199">
        <v>1</v>
      </c>
      <c r="T72" s="206"/>
      <c r="U72" s="206"/>
      <c r="V72" s="737">
        <v>0.1</v>
      </c>
      <c r="W72" s="199">
        <f>R72*V72</f>
        <v>319.5</v>
      </c>
      <c r="X72" s="718"/>
      <c r="Y72" s="737"/>
      <c r="Z72" s="199"/>
      <c r="AA72" s="199">
        <f t="shared" si="90"/>
        <v>3905</v>
      </c>
      <c r="AB72" s="199">
        <f>(R72+AA72)*S72+W72</f>
        <v>7419.5</v>
      </c>
      <c r="AC72" s="738">
        <f t="shared" si="81"/>
        <v>0</v>
      </c>
      <c r="AD72" s="738">
        <f t="shared" si="61"/>
        <v>7419.5</v>
      </c>
      <c r="AE72" s="202">
        <f t="shared" si="62"/>
        <v>7419.5</v>
      </c>
      <c r="AF72" s="202">
        <f t="shared" si="82"/>
        <v>0</v>
      </c>
      <c r="AG72" s="738">
        <f t="shared" si="91"/>
        <v>7100</v>
      </c>
      <c r="AH72" s="202">
        <f t="shared" si="83"/>
        <v>3905</v>
      </c>
      <c r="AI72" s="203">
        <f t="shared" si="84"/>
        <v>3195</v>
      </c>
      <c r="AJ72" s="203">
        <f t="shared" si="92"/>
        <v>0</v>
      </c>
      <c r="AK72" s="203">
        <f t="shared" si="85"/>
        <v>3195</v>
      </c>
      <c r="AL72" s="203">
        <f t="shared" si="55"/>
        <v>0</v>
      </c>
      <c r="AM72" s="203">
        <f t="shared" si="86"/>
        <v>0</v>
      </c>
      <c r="AN72" s="203">
        <f t="shared" si="86"/>
        <v>0</v>
      </c>
      <c r="AO72" s="205">
        <f t="shared" si="87"/>
        <v>0</v>
      </c>
      <c r="AP72" s="205">
        <f t="shared" si="88"/>
        <v>0</v>
      </c>
      <c r="AQ72" s="205">
        <f t="shared" si="89"/>
        <v>3905</v>
      </c>
      <c r="AR72" s="205">
        <f t="shared" si="93"/>
        <v>319.5</v>
      </c>
      <c r="AS72" s="205">
        <f t="shared" si="94"/>
        <v>0</v>
      </c>
      <c r="AT72" s="209">
        <f t="shared" si="14"/>
        <v>3195</v>
      </c>
      <c r="AU72" s="209">
        <f t="shared" si="14"/>
        <v>0</v>
      </c>
      <c r="AV72" s="203"/>
      <c r="AW72" s="251">
        <f t="shared" si="95"/>
        <v>3195</v>
      </c>
      <c r="AX72" s="251"/>
      <c r="AY72" s="838">
        <f t="shared" si="56"/>
        <v>3195</v>
      </c>
      <c r="AZ72" s="838"/>
      <c r="BA72" s="838">
        <f t="shared" si="79"/>
        <v>0</v>
      </c>
    </row>
    <row r="73" spans="2:53" s="76" customFormat="1">
      <c r="B73" s="703">
        <f t="shared" si="17"/>
        <v>48</v>
      </c>
      <c r="C73" s="197" t="s">
        <v>1270</v>
      </c>
      <c r="D73" s="198"/>
      <c r="E73" s="703" t="s">
        <v>1271</v>
      </c>
      <c r="F73" s="703">
        <v>1</v>
      </c>
      <c r="G73" s="199">
        <v>3195</v>
      </c>
      <c r="H73" s="736"/>
      <c r="I73" s="199"/>
      <c r="J73" s="736"/>
      <c r="K73" s="199"/>
      <c r="L73" s="199"/>
      <c r="M73" s="736"/>
      <c r="N73" s="199"/>
      <c r="O73" s="736"/>
      <c r="P73" s="199"/>
      <c r="Q73" s="199"/>
      <c r="R73" s="199">
        <f t="shared" si="80"/>
        <v>3195</v>
      </c>
      <c r="S73" s="199">
        <v>1</v>
      </c>
      <c r="T73" s="206"/>
      <c r="U73" s="206"/>
      <c r="V73" s="741"/>
      <c r="W73" s="206"/>
      <c r="X73" s="718"/>
      <c r="Y73" s="737"/>
      <c r="Z73" s="199"/>
      <c r="AA73" s="199">
        <f t="shared" si="90"/>
        <v>3905</v>
      </c>
      <c r="AB73" s="199">
        <f>(R73+AA73)*S73</f>
        <v>7100</v>
      </c>
      <c r="AC73" s="738">
        <f t="shared" si="81"/>
        <v>0</v>
      </c>
      <c r="AD73" s="738">
        <f t="shared" si="61"/>
        <v>7100</v>
      </c>
      <c r="AE73" s="202">
        <f t="shared" si="62"/>
        <v>7100</v>
      </c>
      <c r="AF73" s="202">
        <f t="shared" si="82"/>
        <v>0</v>
      </c>
      <c r="AG73" s="738">
        <f t="shared" si="91"/>
        <v>7100</v>
      </c>
      <c r="AH73" s="202">
        <f t="shared" si="83"/>
        <v>3905</v>
      </c>
      <c r="AI73" s="203">
        <f t="shared" si="84"/>
        <v>3195</v>
      </c>
      <c r="AJ73" s="203">
        <f t="shared" si="92"/>
        <v>0</v>
      </c>
      <c r="AK73" s="203">
        <f t="shared" si="85"/>
        <v>3195</v>
      </c>
      <c r="AL73" s="203">
        <f t="shared" si="55"/>
        <v>0</v>
      </c>
      <c r="AM73" s="203">
        <f t="shared" si="86"/>
        <v>0</v>
      </c>
      <c r="AN73" s="203">
        <f t="shared" si="86"/>
        <v>0</v>
      </c>
      <c r="AO73" s="205">
        <f t="shared" si="87"/>
        <v>0</v>
      </c>
      <c r="AP73" s="205">
        <f t="shared" si="88"/>
        <v>0</v>
      </c>
      <c r="AQ73" s="205">
        <f t="shared" si="89"/>
        <v>3905</v>
      </c>
      <c r="AR73" s="205">
        <f t="shared" si="93"/>
        <v>0</v>
      </c>
      <c r="AS73" s="205">
        <f t="shared" si="94"/>
        <v>0</v>
      </c>
      <c r="AT73" s="209">
        <f t="shared" si="14"/>
        <v>3195</v>
      </c>
      <c r="AU73" s="209">
        <f t="shared" si="14"/>
        <v>0</v>
      </c>
      <c r="AV73" s="203"/>
      <c r="AW73" s="251">
        <f t="shared" si="95"/>
        <v>3195</v>
      </c>
      <c r="AX73" s="251"/>
      <c r="AY73" s="838">
        <f t="shared" si="56"/>
        <v>3195</v>
      </c>
      <c r="AZ73" s="838"/>
      <c r="BA73" s="838">
        <f t="shared" si="79"/>
        <v>0</v>
      </c>
    </row>
    <row r="74" spans="2:53" s="76" customFormat="1">
      <c r="B74" s="703">
        <f t="shared" si="17"/>
        <v>49</v>
      </c>
      <c r="C74" s="211" t="s">
        <v>1824</v>
      </c>
      <c r="D74" s="198"/>
      <c r="E74" s="703" t="s">
        <v>1741</v>
      </c>
      <c r="F74" s="206">
        <v>1</v>
      </c>
      <c r="G74" s="199">
        <v>3195</v>
      </c>
      <c r="H74" s="736"/>
      <c r="I74" s="199"/>
      <c r="J74" s="736"/>
      <c r="K74" s="199"/>
      <c r="L74" s="199"/>
      <c r="M74" s="736"/>
      <c r="N74" s="199"/>
      <c r="O74" s="736"/>
      <c r="P74" s="199"/>
      <c r="Q74" s="199"/>
      <c r="R74" s="199">
        <f>G74+I74+K74+L74+N74+P74+Q74</f>
        <v>3195</v>
      </c>
      <c r="S74" s="199">
        <v>1</v>
      </c>
      <c r="T74" s="206"/>
      <c r="U74" s="206"/>
      <c r="V74" s="741"/>
      <c r="W74" s="206"/>
      <c r="X74" s="718"/>
      <c r="Y74" s="737"/>
      <c r="Z74" s="199"/>
      <c r="AA74" s="199">
        <f t="shared" si="90"/>
        <v>3905</v>
      </c>
      <c r="AB74" s="199">
        <f>(R74+AA74)*S74</f>
        <v>7100</v>
      </c>
      <c r="AC74" s="738">
        <f>AF74</f>
        <v>0</v>
      </c>
      <c r="AD74" s="738">
        <f>AB74+AC74</f>
        <v>7100</v>
      </c>
      <c r="AE74" s="202">
        <f>AB74</f>
        <v>7100</v>
      </c>
      <c r="AF74" s="202">
        <f>AE74-AB74</f>
        <v>0</v>
      </c>
      <c r="AG74" s="738">
        <f t="shared" si="91"/>
        <v>7100</v>
      </c>
      <c r="AH74" s="202">
        <f>AG74-(R74*S74)</f>
        <v>3905</v>
      </c>
      <c r="AI74" s="203">
        <f>G74*S74</f>
        <v>3195</v>
      </c>
      <c r="AJ74" s="203">
        <f t="shared" si="92"/>
        <v>0</v>
      </c>
      <c r="AK74" s="203">
        <f>R74*S74</f>
        <v>3195</v>
      </c>
      <c r="AL74" s="203">
        <f t="shared" si="55"/>
        <v>0</v>
      </c>
      <c r="AM74" s="203">
        <f>AK74-AI74</f>
        <v>0</v>
      </c>
      <c r="AN74" s="203">
        <f>AL74-AJ74</f>
        <v>0</v>
      </c>
      <c r="AO74" s="205">
        <f>Z74*S74</f>
        <v>0</v>
      </c>
      <c r="AP74" s="205">
        <f>Z74*T74</f>
        <v>0</v>
      </c>
      <c r="AQ74" s="205">
        <f>AA74</f>
        <v>3905</v>
      </c>
      <c r="AR74" s="205">
        <f t="shared" si="93"/>
        <v>0</v>
      </c>
      <c r="AS74" s="205">
        <f t="shared" si="94"/>
        <v>0</v>
      </c>
      <c r="AT74" s="209">
        <f t="shared" si="14"/>
        <v>3195</v>
      </c>
      <c r="AU74" s="209">
        <f t="shared" si="14"/>
        <v>0</v>
      </c>
      <c r="AV74" s="203"/>
      <c r="AW74" s="251">
        <f t="shared" si="95"/>
        <v>3195</v>
      </c>
      <c r="AX74" s="251"/>
      <c r="AY74" s="838">
        <f t="shared" si="56"/>
        <v>3195</v>
      </c>
      <c r="AZ74" s="838"/>
      <c r="BA74" s="838">
        <f t="shared" si="79"/>
        <v>0</v>
      </c>
    </row>
    <row r="75" spans="2:53" s="76" customFormat="1">
      <c r="B75" s="703"/>
      <c r="C75" s="213" t="s">
        <v>1873</v>
      </c>
      <c r="D75" s="198"/>
      <c r="E75" s="206"/>
      <c r="F75" s="206"/>
      <c r="G75" s="199"/>
      <c r="H75" s="736"/>
      <c r="I75" s="199"/>
      <c r="J75" s="736"/>
      <c r="K75" s="199"/>
      <c r="L75" s="199"/>
      <c r="M75" s="736"/>
      <c r="N75" s="199"/>
      <c r="O75" s="736"/>
      <c r="P75" s="199"/>
      <c r="Q75" s="199"/>
      <c r="R75" s="199"/>
      <c r="S75" s="199"/>
      <c r="T75" s="206"/>
      <c r="U75" s="206"/>
      <c r="V75" s="741"/>
      <c r="W75" s="206"/>
      <c r="X75" s="718"/>
      <c r="Y75" s="737"/>
      <c r="Z75" s="199"/>
      <c r="AA75" s="199"/>
      <c r="AB75" s="199"/>
      <c r="AC75" s="738"/>
      <c r="AD75" s="738"/>
      <c r="AE75" s="202"/>
      <c r="AF75" s="202"/>
      <c r="AG75" s="738"/>
      <c r="AH75" s="202"/>
      <c r="AI75" s="203"/>
      <c r="AJ75" s="203"/>
      <c r="AK75" s="203"/>
      <c r="AL75" s="203">
        <f t="shared" si="55"/>
        <v>0</v>
      </c>
      <c r="AM75" s="203"/>
      <c r="AN75" s="203"/>
      <c r="AO75" s="205"/>
      <c r="AP75" s="205"/>
      <c r="AQ75" s="205"/>
      <c r="AR75" s="205"/>
      <c r="AS75" s="205"/>
      <c r="AT75" s="209"/>
      <c r="AU75" s="209"/>
      <c r="AV75" s="203"/>
      <c r="AW75" s="251"/>
      <c r="AX75" s="251"/>
      <c r="AY75" s="838">
        <f t="shared" si="56"/>
        <v>0</v>
      </c>
      <c r="AZ75" s="838"/>
      <c r="BA75" s="838">
        <f t="shared" si="79"/>
        <v>0</v>
      </c>
    </row>
    <row r="76" spans="2:53" s="79" customFormat="1">
      <c r="B76" s="703">
        <f>B74+1</f>
        <v>50</v>
      </c>
      <c r="C76" s="197" t="s">
        <v>1841</v>
      </c>
      <c r="D76" s="198"/>
      <c r="E76" s="703" t="s">
        <v>1243</v>
      </c>
      <c r="F76" s="703">
        <v>3</v>
      </c>
      <c r="G76" s="199">
        <v>3770</v>
      </c>
      <c r="H76" s="736"/>
      <c r="I76" s="199"/>
      <c r="J76" s="736"/>
      <c r="K76" s="199"/>
      <c r="L76" s="199"/>
      <c r="M76" s="736"/>
      <c r="N76" s="199"/>
      <c r="O76" s="736"/>
      <c r="P76" s="199"/>
      <c r="Q76" s="199"/>
      <c r="R76" s="199">
        <f>G76+I76+K76+L76+N76+P76+Q76</f>
        <v>3770</v>
      </c>
      <c r="S76" s="199">
        <v>1</v>
      </c>
      <c r="T76" s="206"/>
      <c r="U76" s="206"/>
      <c r="V76" s="741"/>
      <c r="W76" s="206"/>
      <c r="X76" s="718"/>
      <c r="Y76" s="737"/>
      <c r="Z76" s="199"/>
      <c r="AA76" s="199">
        <f>AH76</f>
        <v>3330</v>
      </c>
      <c r="AB76" s="199">
        <f>(R76+AA76)*S76</f>
        <v>7100</v>
      </c>
      <c r="AC76" s="738">
        <f>AF76</f>
        <v>0</v>
      </c>
      <c r="AD76" s="738">
        <f>AB76+AC76</f>
        <v>7100</v>
      </c>
      <c r="AE76" s="202">
        <f>AB76</f>
        <v>7100</v>
      </c>
      <c r="AF76" s="202">
        <f>AE76-AB76</f>
        <v>0</v>
      </c>
      <c r="AG76" s="738">
        <f t="shared" ref="AG76:AG84" si="96">7100*S76</f>
        <v>7100</v>
      </c>
      <c r="AH76" s="202">
        <f>AG76-(R76*S76)</f>
        <v>3330</v>
      </c>
      <c r="AI76" s="203">
        <f>G76*S76</f>
        <v>3770</v>
      </c>
      <c r="AJ76" s="203">
        <f>G76*T76</f>
        <v>0</v>
      </c>
      <c r="AK76" s="203">
        <f>R76*S76</f>
        <v>3770</v>
      </c>
      <c r="AL76" s="203">
        <f t="shared" si="55"/>
        <v>0</v>
      </c>
      <c r="AM76" s="203">
        <f>AK76-AI76</f>
        <v>0</v>
      </c>
      <c r="AN76" s="203">
        <f>AL76-AJ76</f>
        <v>0</v>
      </c>
      <c r="AO76" s="205">
        <f>Z76*S76</f>
        <v>0</v>
      </c>
      <c r="AP76" s="205">
        <f>Z76*T76</f>
        <v>0</v>
      </c>
      <c r="AQ76" s="205">
        <f>AA76</f>
        <v>3330</v>
      </c>
      <c r="AR76" s="205">
        <f>W76*S76</f>
        <v>0</v>
      </c>
      <c r="AS76" s="205">
        <f>W76*T76</f>
        <v>0</v>
      </c>
      <c r="AT76" s="209">
        <f t="shared" si="14"/>
        <v>3770</v>
      </c>
      <c r="AU76" s="209">
        <f t="shared" si="14"/>
        <v>0</v>
      </c>
      <c r="AV76" s="203"/>
      <c r="AW76" s="251">
        <f t="shared" si="95"/>
        <v>3770</v>
      </c>
      <c r="AX76" s="251"/>
      <c r="AY76" s="838">
        <f t="shared" si="56"/>
        <v>3770</v>
      </c>
      <c r="AZ76" s="838"/>
      <c r="BA76" s="838">
        <f t="shared" si="79"/>
        <v>0</v>
      </c>
    </row>
    <row r="77" spans="2:53" s="76" customFormat="1">
      <c r="B77" s="703">
        <f t="shared" si="17"/>
        <v>51</v>
      </c>
      <c r="C77" s="197" t="s">
        <v>1274</v>
      </c>
      <c r="D77" s="198"/>
      <c r="E77" s="703" t="s">
        <v>143</v>
      </c>
      <c r="F77" s="703">
        <v>3</v>
      </c>
      <c r="G77" s="199">
        <v>3770</v>
      </c>
      <c r="H77" s="736"/>
      <c r="I77" s="199"/>
      <c r="J77" s="736"/>
      <c r="K77" s="199"/>
      <c r="L77" s="199"/>
      <c r="M77" s="736"/>
      <c r="N77" s="199"/>
      <c r="O77" s="736"/>
      <c r="P77" s="199"/>
      <c r="Q77" s="199"/>
      <c r="R77" s="199">
        <f t="shared" ref="R77:R86" si="97">G77+I77+K77+L77+N77+P77+Q77</f>
        <v>3770</v>
      </c>
      <c r="S77" s="199">
        <v>1</v>
      </c>
      <c r="T77" s="206"/>
      <c r="U77" s="206"/>
      <c r="V77" s="741"/>
      <c r="W77" s="206"/>
      <c r="X77" s="718"/>
      <c r="Y77" s="737"/>
      <c r="Z77" s="199"/>
      <c r="AA77" s="199">
        <f t="shared" ref="AA77:AA84" si="98">AH77</f>
        <v>3330</v>
      </c>
      <c r="AB77" s="199">
        <f t="shared" ref="AB77:AB84" si="99">(R77+AA77)*S77</f>
        <v>7100</v>
      </c>
      <c r="AC77" s="738">
        <f t="shared" ref="AC77:AC84" si="100">AF77</f>
        <v>0</v>
      </c>
      <c r="AD77" s="738">
        <f t="shared" ref="AD77:AD86" si="101">AB77+AC77</f>
        <v>7100</v>
      </c>
      <c r="AE77" s="202">
        <f t="shared" ref="AE77:AE86" si="102">AB77</f>
        <v>7100</v>
      </c>
      <c r="AF77" s="202">
        <f t="shared" ref="AF77:AF84" si="103">AE77-AB77</f>
        <v>0</v>
      </c>
      <c r="AG77" s="738">
        <f t="shared" si="96"/>
        <v>7100</v>
      </c>
      <c r="AH77" s="202">
        <f t="shared" ref="AH77:AH84" si="104">AG77-(R77*S77)</f>
        <v>3330</v>
      </c>
      <c r="AI77" s="203">
        <f t="shared" ref="AI77:AI84" si="105">G77*S77</f>
        <v>3770</v>
      </c>
      <c r="AJ77" s="203">
        <f t="shared" ref="AJ77:AJ84" si="106">G77*T77</f>
        <v>0</v>
      </c>
      <c r="AK77" s="203">
        <f t="shared" ref="AK77:AK84" si="107">R77*S77</f>
        <v>3770</v>
      </c>
      <c r="AL77" s="203">
        <f t="shared" si="55"/>
        <v>0</v>
      </c>
      <c r="AM77" s="203">
        <f t="shared" ref="AM77:AN84" si="108">AK77-AI77</f>
        <v>0</v>
      </c>
      <c r="AN77" s="203">
        <f t="shared" si="108"/>
        <v>0</v>
      </c>
      <c r="AO77" s="205">
        <f t="shared" ref="AO77:AO84" si="109">Z77*S77</f>
        <v>0</v>
      </c>
      <c r="AP77" s="205">
        <f t="shared" ref="AP77:AP84" si="110">Z77*T77</f>
        <v>0</v>
      </c>
      <c r="AQ77" s="205">
        <f t="shared" ref="AQ77:AQ84" si="111">AA77</f>
        <v>3330</v>
      </c>
      <c r="AR77" s="205">
        <f t="shared" ref="AR77:AR86" si="112">W77*S77</f>
        <v>0</v>
      </c>
      <c r="AS77" s="205">
        <f t="shared" ref="AS77:AS86" si="113">W77*T77</f>
        <v>0</v>
      </c>
      <c r="AT77" s="209">
        <f t="shared" si="14"/>
        <v>3770</v>
      </c>
      <c r="AU77" s="209">
        <f t="shared" si="14"/>
        <v>0</v>
      </c>
      <c r="AV77" s="203"/>
      <c r="AW77" s="251">
        <f t="shared" si="95"/>
        <v>3770</v>
      </c>
      <c r="AX77" s="251"/>
      <c r="AY77" s="838">
        <f t="shared" si="56"/>
        <v>3770</v>
      </c>
      <c r="AZ77" s="838"/>
      <c r="BA77" s="838">
        <f t="shared" si="79"/>
        <v>0</v>
      </c>
    </row>
    <row r="78" spans="2:53" s="76" customFormat="1">
      <c r="B78" s="703">
        <f t="shared" ref="B78:B139" si="114">1+B77</f>
        <v>52</v>
      </c>
      <c r="C78" s="197" t="s">
        <v>1274</v>
      </c>
      <c r="D78" s="198"/>
      <c r="E78" s="703" t="s">
        <v>144</v>
      </c>
      <c r="F78" s="703">
        <v>3</v>
      </c>
      <c r="G78" s="199">
        <v>3770</v>
      </c>
      <c r="H78" s="736"/>
      <c r="I78" s="199"/>
      <c r="J78" s="736"/>
      <c r="K78" s="199"/>
      <c r="L78" s="199"/>
      <c r="M78" s="736"/>
      <c r="N78" s="199"/>
      <c r="O78" s="736"/>
      <c r="P78" s="199"/>
      <c r="Q78" s="199"/>
      <c r="R78" s="199">
        <f t="shared" si="97"/>
        <v>3770</v>
      </c>
      <c r="S78" s="199">
        <v>1</v>
      </c>
      <c r="T78" s="206"/>
      <c r="U78" s="206"/>
      <c r="V78" s="741"/>
      <c r="W78" s="206"/>
      <c r="X78" s="718"/>
      <c r="Y78" s="737"/>
      <c r="Z78" s="199"/>
      <c r="AA78" s="199">
        <f t="shared" si="98"/>
        <v>3330</v>
      </c>
      <c r="AB78" s="199">
        <f t="shared" si="99"/>
        <v>7100</v>
      </c>
      <c r="AC78" s="738">
        <f t="shared" si="100"/>
        <v>0</v>
      </c>
      <c r="AD78" s="738">
        <f t="shared" si="101"/>
        <v>7100</v>
      </c>
      <c r="AE78" s="202">
        <f t="shared" si="102"/>
        <v>7100</v>
      </c>
      <c r="AF78" s="202">
        <f t="shared" si="103"/>
        <v>0</v>
      </c>
      <c r="AG78" s="738">
        <f t="shared" si="96"/>
        <v>7100</v>
      </c>
      <c r="AH78" s="202">
        <f t="shared" si="104"/>
        <v>3330</v>
      </c>
      <c r="AI78" s="203">
        <f t="shared" si="105"/>
        <v>3770</v>
      </c>
      <c r="AJ78" s="203">
        <f t="shared" si="106"/>
        <v>0</v>
      </c>
      <c r="AK78" s="203">
        <f t="shared" si="107"/>
        <v>3770</v>
      </c>
      <c r="AL78" s="203">
        <f t="shared" si="55"/>
        <v>0</v>
      </c>
      <c r="AM78" s="203">
        <f t="shared" si="108"/>
        <v>0</v>
      </c>
      <c r="AN78" s="203">
        <f t="shared" si="108"/>
        <v>0</v>
      </c>
      <c r="AO78" s="205">
        <f t="shared" si="109"/>
        <v>0</v>
      </c>
      <c r="AP78" s="205">
        <f t="shared" si="110"/>
        <v>0</v>
      </c>
      <c r="AQ78" s="205">
        <f t="shared" si="111"/>
        <v>3330</v>
      </c>
      <c r="AR78" s="205">
        <f t="shared" si="112"/>
        <v>0</v>
      </c>
      <c r="AS78" s="205">
        <f t="shared" si="113"/>
        <v>0</v>
      </c>
      <c r="AT78" s="209">
        <f t="shared" si="14"/>
        <v>3770</v>
      </c>
      <c r="AU78" s="209">
        <f t="shared" si="14"/>
        <v>0</v>
      </c>
      <c r="AV78" s="203"/>
      <c r="AW78" s="251">
        <f t="shared" si="95"/>
        <v>3770</v>
      </c>
      <c r="AX78" s="251"/>
      <c r="AY78" s="838">
        <f t="shared" si="56"/>
        <v>3770</v>
      </c>
      <c r="AZ78" s="838"/>
      <c r="BA78" s="838">
        <f t="shared" si="79"/>
        <v>0</v>
      </c>
    </row>
    <row r="79" spans="2:53" s="76" customFormat="1">
      <c r="B79" s="703">
        <f t="shared" si="114"/>
        <v>53</v>
      </c>
      <c r="C79" s="197" t="s">
        <v>1274</v>
      </c>
      <c r="D79" s="198"/>
      <c r="E79" s="703" t="s">
        <v>145</v>
      </c>
      <c r="F79" s="703">
        <v>3</v>
      </c>
      <c r="G79" s="199">
        <v>3770</v>
      </c>
      <c r="H79" s="736"/>
      <c r="I79" s="199"/>
      <c r="J79" s="736"/>
      <c r="K79" s="199"/>
      <c r="L79" s="199"/>
      <c r="M79" s="736"/>
      <c r="N79" s="199"/>
      <c r="O79" s="736"/>
      <c r="P79" s="199"/>
      <c r="Q79" s="199"/>
      <c r="R79" s="199">
        <f t="shared" si="97"/>
        <v>3770</v>
      </c>
      <c r="S79" s="199">
        <v>1</v>
      </c>
      <c r="T79" s="206"/>
      <c r="U79" s="206"/>
      <c r="V79" s="741"/>
      <c r="W79" s="206"/>
      <c r="X79" s="718"/>
      <c r="Y79" s="737"/>
      <c r="Z79" s="199"/>
      <c r="AA79" s="199">
        <f t="shared" si="98"/>
        <v>3330</v>
      </c>
      <c r="AB79" s="199">
        <f t="shared" si="99"/>
        <v>7100</v>
      </c>
      <c r="AC79" s="738">
        <f t="shared" si="100"/>
        <v>0</v>
      </c>
      <c r="AD79" s="738">
        <f t="shared" si="101"/>
        <v>7100</v>
      </c>
      <c r="AE79" s="202">
        <f t="shared" si="102"/>
        <v>7100</v>
      </c>
      <c r="AF79" s="202">
        <f t="shared" si="103"/>
        <v>0</v>
      </c>
      <c r="AG79" s="738">
        <f t="shared" si="96"/>
        <v>7100</v>
      </c>
      <c r="AH79" s="202">
        <f t="shared" si="104"/>
        <v>3330</v>
      </c>
      <c r="AI79" s="203">
        <f t="shared" si="105"/>
        <v>3770</v>
      </c>
      <c r="AJ79" s="203">
        <f t="shared" si="106"/>
        <v>0</v>
      </c>
      <c r="AK79" s="203">
        <f t="shared" si="107"/>
        <v>3770</v>
      </c>
      <c r="AL79" s="203">
        <f t="shared" si="55"/>
        <v>0</v>
      </c>
      <c r="AM79" s="203">
        <f t="shared" si="108"/>
        <v>0</v>
      </c>
      <c r="AN79" s="203">
        <f t="shared" si="108"/>
        <v>0</v>
      </c>
      <c r="AO79" s="205">
        <f t="shared" si="109"/>
        <v>0</v>
      </c>
      <c r="AP79" s="205">
        <f t="shared" si="110"/>
        <v>0</v>
      </c>
      <c r="AQ79" s="205">
        <f t="shared" si="111"/>
        <v>3330</v>
      </c>
      <c r="AR79" s="205">
        <f t="shared" si="112"/>
        <v>0</v>
      </c>
      <c r="AS79" s="205">
        <f t="shared" si="113"/>
        <v>0</v>
      </c>
      <c r="AT79" s="209">
        <f t="shared" ref="AT79:AU151" si="115">AK79</f>
        <v>3770</v>
      </c>
      <c r="AU79" s="209">
        <f t="shared" si="115"/>
        <v>0</v>
      </c>
      <c r="AV79" s="203"/>
      <c r="AW79" s="251">
        <f t="shared" si="95"/>
        <v>3770</v>
      </c>
      <c r="AX79" s="251"/>
      <c r="AY79" s="838">
        <f t="shared" si="56"/>
        <v>3770</v>
      </c>
      <c r="AZ79" s="838"/>
      <c r="BA79" s="838">
        <f t="shared" si="79"/>
        <v>0</v>
      </c>
    </row>
    <row r="80" spans="2:53" s="76" customFormat="1">
      <c r="B80" s="703">
        <f t="shared" si="114"/>
        <v>54</v>
      </c>
      <c r="C80" s="197" t="s">
        <v>1274</v>
      </c>
      <c r="D80" s="198"/>
      <c r="E80" s="703" t="s">
        <v>146</v>
      </c>
      <c r="F80" s="703">
        <v>3</v>
      </c>
      <c r="G80" s="199">
        <v>3770</v>
      </c>
      <c r="H80" s="736"/>
      <c r="I80" s="199"/>
      <c r="J80" s="736"/>
      <c r="K80" s="199"/>
      <c r="L80" s="199"/>
      <c r="M80" s="736"/>
      <c r="N80" s="199"/>
      <c r="O80" s="736"/>
      <c r="P80" s="199"/>
      <c r="Q80" s="199"/>
      <c r="R80" s="199">
        <f t="shared" si="97"/>
        <v>3770</v>
      </c>
      <c r="S80" s="199">
        <v>1</v>
      </c>
      <c r="T80" s="206"/>
      <c r="U80" s="206"/>
      <c r="V80" s="741"/>
      <c r="W80" s="206"/>
      <c r="X80" s="718"/>
      <c r="Y80" s="737"/>
      <c r="Z80" s="199"/>
      <c r="AA80" s="199">
        <f t="shared" si="98"/>
        <v>3330</v>
      </c>
      <c r="AB80" s="199">
        <f t="shared" si="99"/>
        <v>7100</v>
      </c>
      <c r="AC80" s="738">
        <f t="shared" si="100"/>
        <v>0</v>
      </c>
      <c r="AD80" s="738">
        <f t="shared" si="101"/>
        <v>7100</v>
      </c>
      <c r="AE80" s="202">
        <f t="shared" si="102"/>
        <v>7100</v>
      </c>
      <c r="AF80" s="202">
        <f t="shared" si="103"/>
        <v>0</v>
      </c>
      <c r="AG80" s="738">
        <f t="shared" si="96"/>
        <v>7100</v>
      </c>
      <c r="AH80" s="202">
        <f t="shared" si="104"/>
        <v>3330</v>
      </c>
      <c r="AI80" s="203">
        <f t="shared" si="105"/>
        <v>3770</v>
      </c>
      <c r="AJ80" s="203">
        <f t="shared" si="106"/>
        <v>0</v>
      </c>
      <c r="AK80" s="203">
        <f t="shared" si="107"/>
        <v>3770</v>
      </c>
      <c r="AL80" s="203">
        <f t="shared" si="55"/>
        <v>0</v>
      </c>
      <c r="AM80" s="203">
        <f t="shared" si="108"/>
        <v>0</v>
      </c>
      <c r="AN80" s="203">
        <f t="shared" si="108"/>
        <v>0</v>
      </c>
      <c r="AO80" s="205">
        <f t="shared" si="109"/>
        <v>0</v>
      </c>
      <c r="AP80" s="205">
        <f t="shared" si="110"/>
        <v>0</v>
      </c>
      <c r="AQ80" s="205">
        <f t="shared" si="111"/>
        <v>3330</v>
      </c>
      <c r="AR80" s="205">
        <f t="shared" si="112"/>
        <v>0</v>
      </c>
      <c r="AS80" s="205">
        <f t="shared" si="113"/>
        <v>0</v>
      </c>
      <c r="AT80" s="209">
        <f t="shared" si="115"/>
        <v>3770</v>
      </c>
      <c r="AU80" s="209">
        <f t="shared" si="115"/>
        <v>0</v>
      </c>
      <c r="AV80" s="203"/>
      <c r="AW80" s="251">
        <f t="shared" si="95"/>
        <v>3770</v>
      </c>
      <c r="AX80" s="251"/>
      <c r="AY80" s="838">
        <f t="shared" si="56"/>
        <v>3770</v>
      </c>
      <c r="AZ80" s="838"/>
      <c r="BA80" s="838">
        <f t="shared" si="79"/>
        <v>0</v>
      </c>
    </row>
    <row r="81" spans="2:53" s="76" customFormat="1">
      <c r="B81" s="703">
        <f t="shared" si="114"/>
        <v>55</v>
      </c>
      <c r="C81" s="197" t="s">
        <v>1274</v>
      </c>
      <c r="D81" s="198"/>
      <c r="E81" s="703" t="s">
        <v>147</v>
      </c>
      <c r="F81" s="703">
        <v>3</v>
      </c>
      <c r="G81" s="199">
        <v>3770</v>
      </c>
      <c r="H81" s="736"/>
      <c r="I81" s="199"/>
      <c r="J81" s="736"/>
      <c r="K81" s="199"/>
      <c r="L81" s="199"/>
      <c r="M81" s="736"/>
      <c r="N81" s="199"/>
      <c r="O81" s="736"/>
      <c r="P81" s="199"/>
      <c r="Q81" s="199"/>
      <c r="R81" s="199">
        <f t="shared" si="97"/>
        <v>3770</v>
      </c>
      <c r="S81" s="199">
        <v>1</v>
      </c>
      <c r="T81" s="206"/>
      <c r="U81" s="206"/>
      <c r="V81" s="741"/>
      <c r="W81" s="206"/>
      <c r="X81" s="718"/>
      <c r="Y81" s="737"/>
      <c r="Z81" s="199"/>
      <c r="AA81" s="199">
        <f t="shared" si="98"/>
        <v>3330</v>
      </c>
      <c r="AB81" s="199">
        <f t="shared" si="99"/>
        <v>7100</v>
      </c>
      <c r="AC81" s="738">
        <f t="shared" si="100"/>
        <v>0</v>
      </c>
      <c r="AD81" s="738">
        <f t="shared" si="101"/>
        <v>7100</v>
      </c>
      <c r="AE81" s="202">
        <f t="shared" si="102"/>
        <v>7100</v>
      </c>
      <c r="AF81" s="202">
        <f t="shared" si="103"/>
        <v>0</v>
      </c>
      <c r="AG81" s="738">
        <f t="shared" si="96"/>
        <v>7100</v>
      </c>
      <c r="AH81" s="202">
        <f t="shared" si="104"/>
        <v>3330</v>
      </c>
      <c r="AI81" s="203">
        <f t="shared" si="105"/>
        <v>3770</v>
      </c>
      <c r="AJ81" s="203">
        <f t="shared" si="106"/>
        <v>0</v>
      </c>
      <c r="AK81" s="203">
        <f t="shared" si="107"/>
        <v>3770</v>
      </c>
      <c r="AL81" s="203">
        <f t="shared" si="55"/>
        <v>0</v>
      </c>
      <c r="AM81" s="203">
        <f t="shared" si="108"/>
        <v>0</v>
      </c>
      <c r="AN81" s="203">
        <f t="shared" si="108"/>
        <v>0</v>
      </c>
      <c r="AO81" s="205">
        <f t="shared" si="109"/>
        <v>0</v>
      </c>
      <c r="AP81" s="205">
        <f t="shared" si="110"/>
        <v>0</v>
      </c>
      <c r="AQ81" s="205">
        <f t="shared" si="111"/>
        <v>3330</v>
      </c>
      <c r="AR81" s="205">
        <f t="shared" si="112"/>
        <v>0</v>
      </c>
      <c r="AS81" s="205">
        <f t="shared" si="113"/>
        <v>0</v>
      </c>
      <c r="AT81" s="209">
        <f t="shared" si="115"/>
        <v>3770</v>
      </c>
      <c r="AU81" s="209">
        <f t="shared" si="115"/>
        <v>0</v>
      </c>
      <c r="AV81" s="203"/>
      <c r="AW81" s="251">
        <f t="shared" si="95"/>
        <v>3770</v>
      </c>
      <c r="AX81" s="251"/>
      <c r="AY81" s="838">
        <f t="shared" si="56"/>
        <v>3770</v>
      </c>
      <c r="AZ81" s="838"/>
      <c r="BA81" s="838">
        <f t="shared" si="79"/>
        <v>0</v>
      </c>
    </row>
    <row r="82" spans="2:53" s="76" customFormat="1">
      <c r="B82" s="703">
        <f t="shared" si="114"/>
        <v>56</v>
      </c>
      <c r="C82" s="197" t="s">
        <v>1274</v>
      </c>
      <c r="D82" s="198"/>
      <c r="E82" s="703" t="s">
        <v>148</v>
      </c>
      <c r="F82" s="703">
        <v>3</v>
      </c>
      <c r="G82" s="199">
        <v>3770</v>
      </c>
      <c r="H82" s="736"/>
      <c r="I82" s="199"/>
      <c r="J82" s="736"/>
      <c r="K82" s="199"/>
      <c r="L82" s="199"/>
      <c r="M82" s="736"/>
      <c r="N82" s="199"/>
      <c r="O82" s="736"/>
      <c r="P82" s="199"/>
      <c r="Q82" s="199"/>
      <c r="R82" s="199">
        <f t="shared" si="97"/>
        <v>3770</v>
      </c>
      <c r="S82" s="199">
        <v>1</v>
      </c>
      <c r="T82" s="206"/>
      <c r="U82" s="206"/>
      <c r="V82" s="741"/>
      <c r="W82" s="206"/>
      <c r="X82" s="718"/>
      <c r="Y82" s="737"/>
      <c r="Z82" s="199"/>
      <c r="AA82" s="199">
        <f t="shared" si="98"/>
        <v>3330</v>
      </c>
      <c r="AB82" s="199">
        <f t="shared" si="99"/>
        <v>7100</v>
      </c>
      <c r="AC82" s="738">
        <f t="shared" si="100"/>
        <v>0</v>
      </c>
      <c r="AD82" s="738">
        <f t="shared" si="101"/>
        <v>7100</v>
      </c>
      <c r="AE82" s="202">
        <f t="shared" si="102"/>
        <v>7100</v>
      </c>
      <c r="AF82" s="202">
        <f t="shared" si="103"/>
        <v>0</v>
      </c>
      <c r="AG82" s="738">
        <f t="shared" si="96"/>
        <v>7100</v>
      </c>
      <c r="AH82" s="202">
        <f t="shared" si="104"/>
        <v>3330</v>
      </c>
      <c r="AI82" s="203">
        <f t="shared" si="105"/>
        <v>3770</v>
      </c>
      <c r="AJ82" s="203">
        <f t="shared" si="106"/>
        <v>0</v>
      </c>
      <c r="AK82" s="203">
        <f t="shared" si="107"/>
        <v>3770</v>
      </c>
      <c r="AL82" s="203">
        <f t="shared" si="55"/>
        <v>0</v>
      </c>
      <c r="AM82" s="203">
        <f t="shared" si="108"/>
        <v>0</v>
      </c>
      <c r="AN82" s="203">
        <f t="shared" si="108"/>
        <v>0</v>
      </c>
      <c r="AO82" s="205">
        <f t="shared" si="109"/>
        <v>0</v>
      </c>
      <c r="AP82" s="205">
        <f t="shared" si="110"/>
        <v>0</v>
      </c>
      <c r="AQ82" s="205">
        <f t="shared" si="111"/>
        <v>3330</v>
      </c>
      <c r="AR82" s="205">
        <f t="shared" si="112"/>
        <v>0</v>
      </c>
      <c r="AS82" s="205">
        <f t="shared" si="113"/>
        <v>0</v>
      </c>
      <c r="AT82" s="209">
        <f t="shared" si="115"/>
        <v>3770</v>
      </c>
      <c r="AU82" s="209">
        <f t="shared" si="115"/>
        <v>0</v>
      </c>
      <c r="AV82" s="203"/>
      <c r="AW82" s="251">
        <f t="shared" si="95"/>
        <v>3770</v>
      </c>
      <c r="AX82" s="251"/>
      <c r="AY82" s="838">
        <f t="shared" si="56"/>
        <v>3770</v>
      </c>
      <c r="AZ82" s="838"/>
      <c r="BA82" s="838">
        <f t="shared" si="79"/>
        <v>0</v>
      </c>
    </row>
    <row r="83" spans="2:53" s="78" customFormat="1">
      <c r="B83" s="703">
        <f t="shared" si="114"/>
        <v>57</v>
      </c>
      <c r="C83" s="197" t="s">
        <v>1274</v>
      </c>
      <c r="D83" s="198"/>
      <c r="E83" s="703" t="s">
        <v>149</v>
      </c>
      <c r="F83" s="703">
        <v>3</v>
      </c>
      <c r="G83" s="199">
        <v>3770</v>
      </c>
      <c r="H83" s="736"/>
      <c r="I83" s="199"/>
      <c r="J83" s="736"/>
      <c r="K83" s="199"/>
      <c r="L83" s="199"/>
      <c r="M83" s="736"/>
      <c r="N83" s="199"/>
      <c r="O83" s="736"/>
      <c r="P83" s="199"/>
      <c r="Q83" s="199"/>
      <c r="R83" s="199">
        <f t="shared" si="97"/>
        <v>3770</v>
      </c>
      <c r="S83" s="199">
        <v>1</v>
      </c>
      <c r="T83" s="206"/>
      <c r="U83" s="206"/>
      <c r="V83" s="741"/>
      <c r="W83" s="206"/>
      <c r="X83" s="718"/>
      <c r="Y83" s="737"/>
      <c r="Z83" s="199"/>
      <c r="AA83" s="199">
        <f t="shared" si="98"/>
        <v>3330</v>
      </c>
      <c r="AB83" s="199">
        <f t="shared" si="99"/>
        <v>7100</v>
      </c>
      <c r="AC83" s="738">
        <f t="shared" si="100"/>
        <v>0</v>
      </c>
      <c r="AD83" s="738">
        <f t="shared" si="101"/>
        <v>7100</v>
      </c>
      <c r="AE83" s="202">
        <f t="shared" si="102"/>
        <v>7100</v>
      </c>
      <c r="AF83" s="202">
        <f t="shared" si="103"/>
        <v>0</v>
      </c>
      <c r="AG83" s="738">
        <f t="shared" si="96"/>
        <v>7100</v>
      </c>
      <c r="AH83" s="202">
        <f t="shared" si="104"/>
        <v>3330</v>
      </c>
      <c r="AI83" s="203">
        <f t="shared" si="105"/>
        <v>3770</v>
      </c>
      <c r="AJ83" s="203">
        <f t="shared" si="106"/>
        <v>0</v>
      </c>
      <c r="AK83" s="203">
        <f t="shared" si="107"/>
        <v>3770</v>
      </c>
      <c r="AL83" s="203">
        <f t="shared" si="55"/>
        <v>0</v>
      </c>
      <c r="AM83" s="203">
        <f t="shared" si="108"/>
        <v>0</v>
      </c>
      <c r="AN83" s="203">
        <f t="shared" si="108"/>
        <v>0</v>
      </c>
      <c r="AO83" s="205">
        <f t="shared" si="109"/>
        <v>0</v>
      </c>
      <c r="AP83" s="205">
        <f t="shared" si="110"/>
        <v>0</v>
      </c>
      <c r="AQ83" s="205">
        <f t="shared" si="111"/>
        <v>3330</v>
      </c>
      <c r="AR83" s="205">
        <f t="shared" si="112"/>
        <v>0</v>
      </c>
      <c r="AS83" s="205">
        <f t="shared" si="113"/>
        <v>0</v>
      </c>
      <c r="AT83" s="209">
        <f t="shared" si="115"/>
        <v>3770</v>
      </c>
      <c r="AU83" s="209">
        <f t="shared" si="115"/>
        <v>0</v>
      </c>
      <c r="AV83" s="203"/>
      <c r="AW83" s="251">
        <f t="shared" si="95"/>
        <v>3770</v>
      </c>
      <c r="AX83" s="251"/>
      <c r="AY83" s="838">
        <f t="shared" si="56"/>
        <v>3770</v>
      </c>
      <c r="AZ83" s="838"/>
      <c r="BA83" s="838">
        <f t="shared" si="79"/>
        <v>0</v>
      </c>
    </row>
    <row r="84" spans="2:53" s="79" customFormat="1">
      <c r="B84" s="703">
        <f t="shared" si="114"/>
        <v>58</v>
      </c>
      <c r="C84" s="197" t="s">
        <v>1274</v>
      </c>
      <c r="D84" s="198"/>
      <c r="E84" s="703" t="s">
        <v>150</v>
      </c>
      <c r="F84" s="703">
        <v>3</v>
      </c>
      <c r="G84" s="199">
        <v>3770</v>
      </c>
      <c r="H84" s="736"/>
      <c r="I84" s="199"/>
      <c r="J84" s="736"/>
      <c r="K84" s="199"/>
      <c r="L84" s="199"/>
      <c r="M84" s="736"/>
      <c r="N84" s="199"/>
      <c r="O84" s="736"/>
      <c r="P84" s="199"/>
      <c r="Q84" s="199"/>
      <c r="R84" s="199">
        <f t="shared" si="97"/>
        <v>3770</v>
      </c>
      <c r="S84" s="199">
        <v>1</v>
      </c>
      <c r="T84" s="206"/>
      <c r="U84" s="206"/>
      <c r="V84" s="741"/>
      <c r="W84" s="206"/>
      <c r="X84" s="718"/>
      <c r="Y84" s="737"/>
      <c r="Z84" s="199"/>
      <c r="AA84" s="199">
        <f t="shared" si="98"/>
        <v>3330</v>
      </c>
      <c r="AB84" s="199">
        <f t="shared" si="99"/>
        <v>7100</v>
      </c>
      <c r="AC84" s="738">
        <f t="shared" si="100"/>
        <v>0</v>
      </c>
      <c r="AD84" s="738">
        <f t="shared" si="101"/>
        <v>7100</v>
      </c>
      <c r="AE84" s="202">
        <f t="shared" si="102"/>
        <v>7100</v>
      </c>
      <c r="AF84" s="202">
        <f t="shared" si="103"/>
        <v>0</v>
      </c>
      <c r="AG84" s="738">
        <f t="shared" si="96"/>
        <v>7100</v>
      </c>
      <c r="AH84" s="202">
        <f t="shared" si="104"/>
        <v>3330</v>
      </c>
      <c r="AI84" s="203">
        <f t="shared" si="105"/>
        <v>3770</v>
      </c>
      <c r="AJ84" s="203">
        <f t="shared" si="106"/>
        <v>0</v>
      </c>
      <c r="AK84" s="203">
        <f t="shared" si="107"/>
        <v>3770</v>
      </c>
      <c r="AL84" s="203">
        <f>R84*T84</f>
        <v>0</v>
      </c>
      <c r="AM84" s="203">
        <f t="shared" si="108"/>
        <v>0</v>
      </c>
      <c r="AN84" s="203">
        <f t="shared" si="108"/>
        <v>0</v>
      </c>
      <c r="AO84" s="205">
        <f t="shared" si="109"/>
        <v>0</v>
      </c>
      <c r="AP84" s="205">
        <f t="shared" si="110"/>
        <v>0</v>
      </c>
      <c r="AQ84" s="205">
        <f t="shared" si="111"/>
        <v>3330</v>
      </c>
      <c r="AR84" s="205">
        <f t="shared" si="112"/>
        <v>0</v>
      </c>
      <c r="AS84" s="205">
        <f t="shared" si="113"/>
        <v>0</v>
      </c>
      <c r="AT84" s="209">
        <f t="shared" si="115"/>
        <v>3770</v>
      </c>
      <c r="AU84" s="209">
        <f t="shared" si="115"/>
        <v>0</v>
      </c>
      <c r="AV84" s="203"/>
      <c r="AW84" s="251">
        <f t="shared" si="95"/>
        <v>3770</v>
      </c>
      <c r="AX84" s="251"/>
      <c r="AY84" s="838">
        <f t="shared" si="56"/>
        <v>3770</v>
      </c>
      <c r="AZ84" s="838"/>
      <c r="BA84" s="838">
        <f t="shared" si="79"/>
        <v>0</v>
      </c>
    </row>
    <row r="85" spans="2:53" s="76" customFormat="1">
      <c r="B85" s="703">
        <f t="shared" si="114"/>
        <v>59</v>
      </c>
      <c r="C85" s="197" t="s">
        <v>1274</v>
      </c>
      <c r="D85" s="198"/>
      <c r="E85" s="703" t="s">
        <v>1243</v>
      </c>
      <c r="F85" s="703">
        <v>3</v>
      </c>
      <c r="G85" s="199">
        <v>3770</v>
      </c>
      <c r="H85" s="736"/>
      <c r="I85" s="199"/>
      <c r="J85" s="736"/>
      <c r="K85" s="199"/>
      <c r="L85" s="199"/>
      <c r="M85" s="736"/>
      <c r="N85" s="199"/>
      <c r="O85" s="736"/>
      <c r="P85" s="199"/>
      <c r="Q85" s="199"/>
      <c r="R85" s="199">
        <f t="shared" si="97"/>
        <v>3770</v>
      </c>
      <c r="S85" s="199"/>
      <c r="T85" s="199">
        <v>0.5</v>
      </c>
      <c r="U85" s="206"/>
      <c r="V85" s="741"/>
      <c r="W85" s="206"/>
      <c r="X85" s="718"/>
      <c r="Y85" s="737"/>
      <c r="Z85" s="199"/>
      <c r="AA85" s="199">
        <f>AH85</f>
        <v>1665</v>
      </c>
      <c r="AB85" s="199">
        <f>(R85+Z85+U85+W85)*T85+AA85</f>
        <v>3550</v>
      </c>
      <c r="AC85" s="738">
        <f>AF85</f>
        <v>0</v>
      </c>
      <c r="AD85" s="738">
        <f t="shared" si="101"/>
        <v>3550</v>
      </c>
      <c r="AE85" s="202">
        <f t="shared" si="102"/>
        <v>3550</v>
      </c>
      <c r="AF85" s="202">
        <f>AE85-AB85</f>
        <v>0</v>
      </c>
      <c r="AG85" s="738">
        <f>7100*T85</f>
        <v>3550</v>
      </c>
      <c r="AH85" s="202">
        <f>AG85-(R85*T85)</f>
        <v>1665</v>
      </c>
      <c r="AI85" s="203">
        <f>G85*S85</f>
        <v>0</v>
      </c>
      <c r="AJ85" s="203">
        <f>G85*T85</f>
        <v>1885</v>
      </c>
      <c r="AK85" s="203">
        <f>R85*S85</f>
        <v>0</v>
      </c>
      <c r="AL85" s="203">
        <f t="shared" si="55"/>
        <v>1885</v>
      </c>
      <c r="AM85" s="203">
        <f>AK85-AI85</f>
        <v>0</v>
      </c>
      <c r="AN85" s="203">
        <f>AL85-AJ85</f>
        <v>0</v>
      </c>
      <c r="AO85" s="205">
        <f>Z85*S85</f>
        <v>0</v>
      </c>
      <c r="AP85" s="205">
        <f>Z85*T85</f>
        <v>0</v>
      </c>
      <c r="AQ85" s="205">
        <f>AA85</f>
        <v>1665</v>
      </c>
      <c r="AR85" s="205">
        <f t="shared" si="112"/>
        <v>0</v>
      </c>
      <c r="AS85" s="205">
        <f t="shared" si="113"/>
        <v>0</v>
      </c>
      <c r="AT85" s="209">
        <f t="shared" si="115"/>
        <v>0</v>
      </c>
      <c r="AU85" s="209">
        <f t="shared" si="115"/>
        <v>1885</v>
      </c>
      <c r="AV85" s="203"/>
      <c r="AW85" s="251">
        <f>R85*T85</f>
        <v>1885</v>
      </c>
      <c r="AX85" s="251"/>
      <c r="AY85" s="838">
        <f t="shared" si="56"/>
        <v>1885</v>
      </c>
      <c r="AZ85" s="838"/>
      <c r="BA85" s="838">
        <f t="shared" si="79"/>
        <v>0</v>
      </c>
    </row>
    <row r="86" spans="2:53" s="76" customFormat="1">
      <c r="B86" s="703">
        <f t="shared" si="114"/>
        <v>60</v>
      </c>
      <c r="C86" s="197" t="s">
        <v>1274</v>
      </c>
      <c r="D86" s="198"/>
      <c r="E86" s="703" t="s">
        <v>1741</v>
      </c>
      <c r="F86" s="703">
        <v>3</v>
      </c>
      <c r="G86" s="199">
        <v>3770</v>
      </c>
      <c r="H86" s="736"/>
      <c r="I86" s="199"/>
      <c r="J86" s="736"/>
      <c r="K86" s="199"/>
      <c r="L86" s="199"/>
      <c r="M86" s="736"/>
      <c r="N86" s="199"/>
      <c r="O86" s="736"/>
      <c r="P86" s="199"/>
      <c r="Q86" s="199"/>
      <c r="R86" s="199">
        <f t="shared" si="97"/>
        <v>3770</v>
      </c>
      <c r="S86" s="199"/>
      <c r="T86" s="199">
        <v>0.5</v>
      </c>
      <c r="U86" s="206"/>
      <c r="V86" s="741"/>
      <c r="W86" s="206"/>
      <c r="X86" s="718"/>
      <c r="Y86" s="737"/>
      <c r="Z86" s="199"/>
      <c r="AA86" s="199">
        <f>AH86</f>
        <v>1665</v>
      </c>
      <c r="AB86" s="199">
        <f>(R86+Z86+U86+W86)*T86+AA86</f>
        <v>3550</v>
      </c>
      <c r="AC86" s="738">
        <f>AF86</f>
        <v>0</v>
      </c>
      <c r="AD86" s="738">
        <f t="shared" si="101"/>
        <v>3550</v>
      </c>
      <c r="AE86" s="202">
        <f t="shared" si="102"/>
        <v>3550</v>
      </c>
      <c r="AF86" s="202">
        <f>AE86-AB86</f>
        <v>0</v>
      </c>
      <c r="AG86" s="738">
        <f>7100*T86</f>
        <v>3550</v>
      </c>
      <c r="AH86" s="202">
        <f>AG86-(R86*T86)</f>
        <v>1665</v>
      </c>
      <c r="AI86" s="203">
        <f>G86*S86</f>
        <v>0</v>
      </c>
      <c r="AJ86" s="203">
        <f>G86*T86</f>
        <v>1885</v>
      </c>
      <c r="AK86" s="203">
        <f>R86*S86</f>
        <v>0</v>
      </c>
      <c r="AL86" s="203">
        <f t="shared" si="55"/>
        <v>1885</v>
      </c>
      <c r="AM86" s="203">
        <f>AK86-AI86</f>
        <v>0</v>
      </c>
      <c r="AN86" s="203">
        <f>AL86-AJ86</f>
        <v>0</v>
      </c>
      <c r="AO86" s="205">
        <f>Z86*S86</f>
        <v>0</v>
      </c>
      <c r="AP86" s="205">
        <f>Z86*T86</f>
        <v>0</v>
      </c>
      <c r="AQ86" s="205">
        <f>AA86</f>
        <v>1665</v>
      </c>
      <c r="AR86" s="205">
        <f t="shared" si="112"/>
        <v>0</v>
      </c>
      <c r="AS86" s="205">
        <f t="shared" si="113"/>
        <v>0</v>
      </c>
      <c r="AT86" s="209">
        <f t="shared" si="115"/>
        <v>0</v>
      </c>
      <c r="AU86" s="209">
        <f t="shared" si="115"/>
        <v>1885</v>
      </c>
      <c r="AV86" s="203"/>
      <c r="AW86" s="251">
        <f>R86*T86</f>
        <v>1885</v>
      </c>
      <c r="AX86" s="251"/>
      <c r="AY86" s="838">
        <f t="shared" si="56"/>
        <v>1885</v>
      </c>
      <c r="AZ86" s="838"/>
      <c r="BA86" s="838">
        <f t="shared" si="79"/>
        <v>0</v>
      </c>
    </row>
    <row r="87" spans="2:53" s="78" customFormat="1">
      <c r="B87" s="703"/>
      <c r="C87" s="214" t="s">
        <v>1278</v>
      </c>
      <c r="D87" s="192"/>
      <c r="E87" s="191"/>
      <c r="F87" s="191"/>
      <c r="G87" s="215">
        <f>SUM(G44:G86)</f>
        <v>142976</v>
      </c>
      <c r="H87" s="743"/>
      <c r="I87" s="210"/>
      <c r="J87" s="743"/>
      <c r="K87" s="210"/>
      <c r="L87" s="210"/>
      <c r="M87" s="743"/>
      <c r="N87" s="210"/>
      <c r="O87" s="743"/>
      <c r="P87" s="210"/>
      <c r="Q87" s="210"/>
      <c r="R87" s="210">
        <f>SUM(R44:R86)</f>
        <v>147615.20000000001</v>
      </c>
      <c r="S87" s="210">
        <f>SUM(S44:S86)</f>
        <v>30.5</v>
      </c>
      <c r="T87" s="210">
        <f>SUM(T44:T86)</f>
        <v>3</v>
      </c>
      <c r="U87" s="210"/>
      <c r="V87" s="743"/>
      <c r="W87" s="210">
        <f>SUM(W44:W86)</f>
        <v>1278</v>
      </c>
      <c r="X87" s="743"/>
      <c r="Y87" s="743"/>
      <c r="Z87" s="210"/>
      <c r="AA87" s="210">
        <f t="shared" ref="AA87:AV87" si="116">SUM(AA44:AA86)</f>
        <v>105308.6</v>
      </c>
      <c r="AB87" s="210">
        <f t="shared" si="116"/>
        <v>239128</v>
      </c>
      <c r="AC87" s="210">
        <f t="shared" si="116"/>
        <v>0</v>
      </c>
      <c r="AD87" s="210">
        <f>SUM(AD44:AD86)</f>
        <v>239128</v>
      </c>
      <c r="AE87" s="210">
        <f t="shared" si="116"/>
        <v>239128</v>
      </c>
      <c r="AF87" s="210">
        <f t="shared" si="116"/>
        <v>0</v>
      </c>
      <c r="AG87" s="210">
        <f>SUM(AG44:AG86)</f>
        <v>237850</v>
      </c>
      <c r="AH87" s="210">
        <f t="shared" si="116"/>
        <v>105308.6</v>
      </c>
      <c r="AI87" s="210">
        <f t="shared" si="116"/>
        <v>119493</v>
      </c>
      <c r="AJ87" s="210">
        <f t="shared" si="116"/>
        <v>11741.5</v>
      </c>
      <c r="AK87" s="210">
        <f t="shared" si="116"/>
        <v>124074.6</v>
      </c>
      <c r="AL87" s="210">
        <f t="shared" si="116"/>
        <v>12901.3</v>
      </c>
      <c r="AM87" s="210">
        <f t="shared" si="116"/>
        <v>4581.6000000000004</v>
      </c>
      <c r="AN87" s="210">
        <f t="shared" si="116"/>
        <v>1159.8000000000002</v>
      </c>
      <c r="AO87" s="210">
        <f t="shared" si="116"/>
        <v>0</v>
      </c>
      <c r="AP87" s="210">
        <f t="shared" si="116"/>
        <v>0</v>
      </c>
      <c r="AQ87" s="210">
        <f t="shared" si="116"/>
        <v>105308.6</v>
      </c>
      <c r="AR87" s="210">
        <f t="shared" si="116"/>
        <v>1278</v>
      </c>
      <c r="AS87" s="210">
        <f t="shared" si="116"/>
        <v>0</v>
      </c>
      <c r="AT87" s="210">
        <f t="shared" si="116"/>
        <v>124074.6</v>
      </c>
      <c r="AU87" s="210">
        <f t="shared" si="116"/>
        <v>12901.3</v>
      </c>
      <c r="AV87" s="210">
        <f t="shared" si="116"/>
        <v>0</v>
      </c>
      <c r="AW87" s="210">
        <f>SUM(AW44:AW86)</f>
        <v>132541.4</v>
      </c>
      <c r="AX87" s="210">
        <f>SUM(AX44:AX86)</f>
        <v>25600</v>
      </c>
      <c r="AY87" s="839"/>
      <c r="AZ87" s="838"/>
      <c r="BA87" s="839"/>
    </row>
    <row r="88" spans="2:53" s="76" customFormat="1">
      <c r="B88" s="703"/>
      <c r="C88" s="216" t="s">
        <v>1737</v>
      </c>
      <c r="D88" s="217"/>
      <c r="E88" s="218"/>
      <c r="F88" s="218"/>
      <c r="G88" s="218"/>
      <c r="H88" s="745"/>
      <c r="I88" s="218"/>
      <c r="J88" s="745"/>
      <c r="K88" s="218"/>
      <c r="L88" s="218"/>
      <c r="M88" s="745"/>
      <c r="N88" s="218"/>
      <c r="O88" s="745"/>
      <c r="P88" s="218"/>
      <c r="Q88" s="218"/>
      <c r="R88" s="218"/>
      <c r="S88" s="218"/>
      <c r="T88" s="218"/>
      <c r="U88" s="218"/>
      <c r="V88" s="746"/>
      <c r="W88" s="218"/>
      <c r="X88" s="746"/>
      <c r="Y88" s="746"/>
      <c r="Z88" s="218"/>
      <c r="AA88" s="218"/>
      <c r="AB88" s="218"/>
      <c r="AC88" s="219"/>
      <c r="AD88" s="219"/>
      <c r="AE88" s="219"/>
      <c r="AF88" s="219"/>
      <c r="AG88" s="219"/>
      <c r="AH88" s="219"/>
      <c r="AI88" s="203"/>
      <c r="AJ88" s="203"/>
      <c r="AK88" s="203"/>
      <c r="AL88" s="203"/>
      <c r="AM88" s="203"/>
      <c r="AN88" s="203"/>
      <c r="AO88" s="205"/>
      <c r="AP88" s="205"/>
      <c r="AQ88" s="205"/>
      <c r="AR88" s="205"/>
      <c r="AS88" s="205"/>
      <c r="AT88" s="209"/>
      <c r="AU88" s="209"/>
      <c r="AV88" s="203"/>
      <c r="AW88" s="251"/>
      <c r="AX88" s="251"/>
      <c r="AY88" s="839"/>
      <c r="AZ88" s="838"/>
      <c r="BA88" s="839"/>
    </row>
    <row r="89" spans="2:53" s="76" customFormat="1">
      <c r="B89" s="703"/>
      <c r="C89" s="220" t="s">
        <v>1382</v>
      </c>
      <c r="D89" s="217"/>
      <c r="E89" s="218"/>
      <c r="F89" s="218"/>
      <c r="G89" s="218"/>
      <c r="H89" s="745"/>
      <c r="I89" s="218"/>
      <c r="J89" s="745"/>
      <c r="K89" s="218"/>
      <c r="L89" s="218"/>
      <c r="M89" s="745"/>
      <c r="N89" s="218"/>
      <c r="O89" s="745"/>
      <c r="P89" s="218"/>
      <c r="Q89" s="218"/>
      <c r="R89" s="218"/>
      <c r="S89" s="218"/>
      <c r="T89" s="218"/>
      <c r="U89" s="218"/>
      <c r="V89" s="746"/>
      <c r="W89" s="218"/>
      <c r="X89" s="746"/>
      <c r="Y89" s="746"/>
      <c r="Z89" s="218"/>
      <c r="AA89" s="218"/>
      <c r="AB89" s="218"/>
      <c r="AC89" s="219"/>
      <c r="AD89" s="219"/>
      <c r="AE89" s="219"/>
      <c r="AF89" s="219"/>
      <c r="AG89" s="219"/>
      <c r="AH89" s="219"/>
      <c r="AI89" s="203"/>
      <c r="AJ89" s="203"/>
      <c r="AK89" s="203"/>
      <c r="AL89" s="203"/>
      <c r="AM89" s="203"/>
      <c r="AN89" s="203"/>
      <c r="AO89" s="205"/>
      <c r="AP89" s="205"/>
      <c r="AQ89" s="205"/>
      <c r="AR89" s="205"/>
      <c r="AS89" s="205"/>
      <c r="AT89" s="209"/>
      <c r="AU89" s="209"/>
      <c r="AV89" s="203"/>
      <c r="AW89" s="251"/>
      <c r="AX89" s="251"/>
      <c r="AY89" s="839"/>
      <c r="AZ89" s="838"/>
      <c r="BA89" s="839"/>
    </row>
    <row r="90" spans="2:53" s="76" customFormat="1" ht="87.75">
      <c r="B90" s="703">
        <f>B86+1</f>
        <v>61</v>
      </c>
      <c r="C90" s="197" t="s">
        <v>1739</v>
      </c>
      <c r="D90" s="198" t="s">
        <v>151</v>
      </c>
      <c r="E90" s="703" t="s">
        <v>1740</v>
      </c>
      <c r="F90" s="703">
        <v>12</v>
      </c>
      <c r="G90" s="199">
        <v>6773</v>
      </c>
      <c r="H90" s="736"/>
      <c r="I90" s="199"/>
      <c r="J90" s="737">
        <v>0.1</v>
      </c>
      <c r="K90" s="204">
        <f>(G90+I90)*J90</f>
        <v>677.30000000000007</v>
      </c>
      <c r="L90" s="199"/>
      <c r="M90" s="736"/>
      <c r="N90" s="199"/>
      <c r="O90" s="736"/>
      <c r="P90" s="199"/>
      <c r="Q90" s="199"/>
      <c r="R90" s="199">
        <f t="shared" ref="R90:R110" si="117">G90+I90+K90+L90+N90+P90+Q90</f>
        <v>7450.3</v>
      </c>
      <c r="S90" s="199">
        <v>1</v>
      </c>
      <c r="T90" s="199"/>
      <c r="U90" s="199"/>
      <c r="V90" s="736"/>
      <c r="W90" s="199"/>
      <c r="X90" s="849">
        <v>18</v>
      </c>
      <c r="Y90" s="737">
        <v>0.2</v>
      </c>
      <c r="Z90" s="206">
        <f t="shared" ref="Z90:Z112" si="118">R90*Y90</f>
        <v>1490.0600000000002</v>
      </c>
      <c r="AA90" s="199"/>
      <c r="AB90" s="199">
        <f>(R90+Z90)*S90</f>
        <v>8940.36</v>
      </c>
      <c r="AC90" s="738">
        <f t="shared" ref="AC90:AC112" si="119">AF90</f>
        <v>11059.64</v>
      </c>
      <c r="AD90" s="738">
        <f t="shared" ref="AD90:AD112" si="120">AB90+AC90</f>
        <v>20000</v>
      </c>
      <c r="AE90" s="202">
        <f>20000*S90</f>
        <v>20000</v>
      </c>
      <c r="AF90" s="202">
        <f t="shared" ref="AF90:AF111" si="121">AE90-AB90</f>
        <v>11059.64</v>
      </c>
      <c r="AG90" s="738">
        <f t="shared" ref="AG90:AG97" si="122">7100*S90</f>
        <v>7100</v>
      </c>
      <c r="AH90" s="202">
        <f>AB90-AG90</f>
        <v>1840.3600000000006</v>
      </c>
      <c r="AI90" s="203">
        <f t="shared" ref="AI90:AI100" si="123">G90*S90</f>
        <v>6773</v>
      </c>
      <c r="AJ90" s="203">
        <f t="shared" ref="AJ90:AJ111" si="124">G90*T90</f>
        <v>0</v>
      </c>
      <c r="AK90" s="203">
        <f t="shared" ref="AK90:AK108" si="125">R90*S90</f>
        <v>7450.3</v>
      </c>
      <c r="AL90" s="203">
        <f>R90*T90</f>
        <v>0</v>
      </c>
      <c r="AM90" s="203">
        <f t="shared" ref="AM90:AN111" si="126">AK90-AI90</f>
        <v>677.30000000000018</v>
      </c>
      <c r="AN90" s="203">
        <f t="shared" si="126"/>
        <v>0</v>
      </c>
      <c r="AO90" s="205">
        <f t="shared" ref="AO90:AO111" si="127">Z90*S90</f>
        <v>1490.0600000000002</v>
      </c>
      <c r="AP90" s="205">
        <f t="shared" ref="AP90:AP111" si="128">Z90*T90</f>
        <v>0</v>
      </c>
      <c r="AQ90" s="205">
        <f t="shared" ref="AQ90:AQ111" si="129">AA90</f>
        <v>0</v>
      </c>
      <c r="AR90" s="205">
        <f t="shared" ref="AR90:AR111" si="130">W90*S90</f>
        <v>0</v>
      </c>
      <c r="AS90" s="205">
        <f t="shared" ref="AS90:AS111" si="131">W90*T90</f>
        <v>0</v>
      </c>
      <c r="AT90" s="209">
        <f t="shared" si="115"/>
        <v>7450.3</v>
      </c>
      <c r="AU90" s="209">
        <f t="shared" si="115"/>
        <v>0</v>
      </c>
      <c r="AV90" s="203"/>
      <c r="AW90" s="251">
        <f t="shared" ref="AW90:AW97" si="132">R90*S90</f>
        <v>7450.3</v>
      </c>
      <c r="AX90" s="251"/>
      <c r="AY90" s="838">
        <f t="shared" ref="AY90:AY116" si="133">AW90</f>
        <v>7450.3</v>
      </c>
      <c r="AZ90" s="838"/>
      <c r="BA90" s="839"/>
    </row>
    <row r="91" spans="2:53" s="76" customFormat="1" ht="58.5">
      <c r="B91" s="703">
        <f t="shared" si="114"/>
        <v>62</v>
      </c>
      <c r="C91" s="197" t="s">
        <v>1739</v>
      </c>
      <c r="D91" s="198" t="s">
        <v>1345</v>
      </c>
      <c r="E91" s="703" t="s">
        <v>1346</v>
      </c>
      <c r="F91" s="703">
        <v>14</v>
      </c>
      <c r="G91" s="199">
        <v>7732</v>
      </c>
      <c r="H91" s="736"/>
      <c r="I91" s="199"/>
      <c r="J91" s="737">
        <v>0.1</v>
      </c>
      <c r="K91" s="204">
        <f>(G91+I91)*J91</f>
        <v>773.2</v>
      </c>
      <c r="L91" s="199"/>
      <c r="M91" s="736"/>
      <c r="N91" s="199"/>
      <c r="O91" s="736"/>
      <c r="P91" s="199"/>
      <c r="Q91" s="199"/>
      <c r="R91" s="199">
        <f t="shared" si="117"/>
        <v>8505.2000000000007</v>
      </c>
      <c r="S91" s="199">
        <v>1</v>
      </c>
      <c r="T91" s="199"/>
      <c r="U91" s="199"/>
      <c r="V91" s="736"/>
      <c r="W91" s="199"/>
      <c r="X91" s="849">
        <v>15</v>
      </c>
      <c r="Y91" s="737">
        <v>0.2</v>
      </c>
      <c r="Z91" s="199">
        <f t="shared" si="118"/>
        <v>1701.0400000000002</v>
      </c>
      <c r="AA91" s="199"/>
      <c r="AB91" s="199">
        <f>(R91+Z91)*S91</f>
        <v>10206.240000000002</v>
      </c>
      <c r="AC91" s="738">
        <f t="shared" si="119"/>
        <v>9793.7599999999984</v>
      </c>
      <c r="AD91" s="738">
        <f t="shared" si="120"/>
        <v>20000</v>
      </c>
      <c r="AE91" s="202">
        <f t="shared" ref="AE91:AE96" si="134">20000*S91</f>
        <v>20000</v>
      </c>
      <c r="AF91" s="202">
        <f t="shared" si="121"/>
        <v>9793.7599999999984</v>
      </c>
      <c r="AG91" s="738">
        <f t="shared" si="122"/>
        <v>7100</v>
      </c>
      <c r="AH91" s="202">
        <f t="shared" ref="AH91:AH109" si="135">AB91-AG91</f>
        <v>3106.2400000000016</v>
      </c>
      <c r="AI91" s="203">
        <f t="shared" si="123"/>
        <v>7732</v>
      </c>
      <c r="AJ91" s="203">
        <f t="shared" si="124"/>
        <v>0</v>
      </c>
      <c r="AK91" s="203">
        <f t="shared" si="125"/>
        <v>8505.2000000000007</v>
      </c>
      <c r="AL91" s="203">
        <f t="shared" ref="AL91:AL100" si="136">R91*T91</f>
        <v>0</v>
      </c>
      <c r="AM91" s="203">
        <f t="shared" si="126"/>
        <v>773.20000000000073</v>
      </c>
      <c r="AN91" s="203">
        <f t="shared" si="126"/>
        <v>0</v>
      </c>
      <c r="AO91" s="205">
        <f t="shared" si="127"/>
        <v>1701.0400000000002</v>
      </c>
      <c r="AP91" s="205">
        <f t="shared" si="128"/>
        <v>0</v>
      </c>
      <c r="AQ91" s="205">
        <f t="shared" si="129"/>
        <v>0</v>
      </c>
      <c r="AR91" s="205">
        <f t="shared" si="130"/>
        <v>0</v>
      </c>
      <c r="AS91" s="205">
        <f t="shared" si="131"/>
        <v>0</v>
      </c>
      <c r="AT91" s="209">
        <f t="shared" si="115"/>
        <v>8505.2000000000007</v>
      </c>
      <c r="AU91" s="209">
        <f t="shared" si="115"/>
        <v>0</v>
      </c>
      <c r="AV91" s="203"/>
      <c r="AW91" s="251">
        <f t="shared" si="132"/>
        <v>8505.2000000000007</v>
      </c>
      <c r="AX91" s="251"/>
      <c r="AY91" s="838">
        <f t="shared" si="133"/>
        <v>8505.2000000000007</v>
      </c>
      <c r="AZ91" s="838"/>
      <c r="BA91" s="839"/>
    </row>
    <row r="92" spans="2:53" s="76" customFormat="1" ht="87.75">
      <c r="B92" s="703">
        <f t="shared" si="114"/>
        <v>63</v>
      </c>
      <c r="C92" s="197" t="s">
        <v>1007</v>
      </c>
      <c r="D92" s="198" t="s">
        <v>1349</v>
      </c>
      <c r="E92" s="703" t="s">
        <v>1008</v>
      </c>
      <c r="F92" s="703">
        <v>13</v>
      </c>
      <c r="G92" s="199">
        <v>7253</v>
      </c>
      <c r="H92" s="736"/>
      <c r="I92" s="199"/>
      <c r="J92" s="737">
        <v>0.15</v>
      </c>
      <c r="K92" s="204">
        <f>(G92+I92)*J92</f>
        <v>1087.95</v>
      </c>
      <c r="L92" s="199"/>
      <c r="M92" s="736"/>
      <c r="N92" s="199"/>
      <c r="O92" s="736"/>
      <c r="P92" s="199"/>
      <c r="Q92" s="199"/>
      <c r="R92" s="199">
        <f t="shared" si="117"/>
        <v>8340.9500000000007</v>
      </c>
      <c r="S92" s="199">
        <v>1</v>
      </c>
      <c r="T92" s="199"/>
      <c r="U92" s="199"/>
      <c r="V92" s="736"/>
      <c r="W92" s="199"/>
      <c r="X92" s="849">
        <v>22</v>
      </c>
      <c r="Y92" s="737">
        <v>0.3</v>
      </c>
      <c r="Z92" s="199">
        <f t="shared" si="118"/>
        <v>2502.2850000000003</v>
      </c>
      <c r="AA92" s="199"/>
      <c r="AB92" s="199">
        <f>(R92+Z92)*S92</f>
        <v>10843.235000000001</v>
      </c>
      <c r="AC92" s="738">
        <f t="shared" si="119"/>
        <v>9156.7649999999994</v>
      </c>
      <c r="AD92" s="738">
        <f t="shared" si="120"/>
        <v>20000</v>
      </c>
      <c r="AE92" s="202">
        <f t="shared" si="134"/>
        <v>20000</v>
      </c>
      <c r="AF92" s="202">
        <f t="shared" si="121"/>
        <v>9156.7649999999994</v>
      </c>
      <c r="AG92" s="738">
        <f t="shared" si="122"/>
        <v>7100</v>
      </c>
      <c r="AH92" s="202">
        <f t="shared" si="135"/>
        <v>3743.2350000000006</v>
      </c>
      <c r="AI92" s="203">
        <f t="shared" si="123"/>
        <v>7253</v>
      </c>
      <c r="AJ92" s="203">
        <f t="shared" si="124"/>
        <v>0</v>
      </c>
      <c r="AK92" s="203">
        <f t="shared" si="125"/>
        <v>8340.9500000000007</v>
      </c>
      <c r="AL92" s="203">
        <f t="shared" si="136"/>
        <v>0</v>
      </c>
      <c r="AM92" s="203">
        <f t="shared" si="126"/>
        <v>1087.9500000000007</v>
      </c>
      <c r="AN92" s="203">
        <f t="shared" si="126"/>
        <v>0</v>
      </c>
      <c r="AO92" s="205">
        <f t="shared" si="127"/>
        <v>2502.2850000000003</v>
      </c>
      <c r="AP92" s="205">
        <f t="shared" si="128"/>
        <v>0</v>
      </c>
      <c r="AQ92" s="205">
        <f t="shared" si="129"/>
        <v>0</v>
      </c>
      <c r="AR92" s="205">
        <f t="shared" si="130"/>
        <v>0</v>
      </c>
      <c r="AS92" s="205">
        <f t="shared" si="131"/>
        <v>0</v>
      </c>
      <c r="AT92" s="209">
        <f t="shared" si="115"/>
        <v>8340.9500000000007</v>
      </c>
      <c r="AU92" s="209">
        <f t="shared" si="115"/>
        <v>0</v>
      </c>
      <c r="AV92" s="203"/>
      <c r="AW92" s="251">
        <f t="shared" si="132"/>
        <v>8340.9500000000007</v>
      </c>
      <c r="AX92" s="251"/>
      <c r="AY92" s="838">
        <f t="shared" si="133"/>
        <v>8340.9500000000007</v>
      </c>
      <c r="AZ92" s="838"/>
      <c r="BA92" s="839"/>
    </row>
    <row r="93" spans="2:53" s="76" customFormat="1" ht="58.5">
      <c r="B93" s="703">
        <f t="shared" si="114"/>
        <v>64</v>
      </c>
      <c r="C93" s="197" t="s">
        <v>1011</v>
      </c>
      <c r="D93" s="198" t="s">
        <v>1858</v>
      </c>
      <c r="E93" s="703" t="s">
        <v>1012</v>
      </c>
      <c r="F93" s="703">
        <v>13</v>
      </c>
      <c r="G93" s="199">
        <v>7253</v>
      </c>
      <c r="H93" s="718"/>
      <c r="I93" s="703"/>
      <c r="J93" s="718"/>
      <c r="K93" s="703"/>
      <c r="L93" s="703"/>
      <c r="M93" s="718"/>
      <c r="N93" s="199"/>
      <c r="O93" s="737">
        <v>0.25</v>
      </c>
      <c r="P93" s="204">
        <f>G93*O93</f>
        <v>1813.25</v>
      </c>
      <c r="Q93" s="201"/>
      <c r="R93" s="199">
        <f t="shared" si="117"/>
        <v>9066.25</v>
      </c>
      <c r="S93" s="199">
        <v>1</v>
      </c>
      <c r="T93" s="199"/>
      <c r="U93" s="194"/>
      <c r="V93" s="737"/>
      <c r="W93" s="194"/>
      <c r="X93" s="731">
        <v>34</v>
      </c>
      <c r="Y93" s="737">
        <v>0.3</v>
      </c>
      <c r="Z93" s="199">
        <f t="shared" si="118"/>
        <v>2719.875</v>
      </c>
      <c r="AA93" s="199"/>
      <c r="AB93" s="199">
        <f>(R93+Z93)*S93</f>
        <v>11786.125</v>
      </c>
      <c r="AC93" s="738">
        <f t="shared" si="119"/>
        <v>8213.875</v>
      </c>
      <c r="AD93" s="738">
        <f t="shared" si="120"/>
        <v>20000</v>
      </c>
      <c r="AE93" s="202">
        <f t="shared" si="134"/>
        <v>20000</v>
      </c>
      <c r="AF93" s="202">
        <f t="shared" si="121"/>
        <v>8213.875</v>
      </c>
      <c r="AG93" s="738">
        <f t="shared" si="122"/>
        <v>7100</v>
      </c>
      <c r="AH93" s="202">
        <f t="shared" si="135"/>
        <v>4686.125</v>
      </c>
      <c r="AI93" s="203">
        <f t="shared" si="123"/>
        <v>7253</v>
      </c>
      <c r="AJ93" s="203">
        <f t="shared" si="124"/>
        <v>0</v>
      </c>
      <c r="AK93" s="203">
        <f t="shared" si="125"/>
        <v>9066.25</v>
      </c>
      <c r="AL93" s="203">
        <f t="shared" si="136"/>
        <v>0</v>
      </c>
      <c r="AM93" s="203">
        <f t="shared" si="126"/>
        <v>1813.25</v>
      </c>
      <c r="AN93" s="203">
        <f t="shared" si="126"/>
        <v>0</v>
      </c>
      <c r="AO93" s="205">
        <f t="shared" si="127"/>
        <v>2719.875</v>
      </c>
      <c r="AP93" s="205">
        <f t="shared" si="128"/>
        <v>0</v>
      </c>
      <c r="AQ93" s="205">
        <f t="shared" si="129"/>
        <v>0</v>
      </c>
      <c r="AR93" s="205">
        <f t="shared" si="130"/>
        <v>0</v>
      </c>
      <c r="AS93" s="205">
        <f t="shared" si="131"/>
        <v>0</v>
      </c>
      <c r="AT93" s="209">
        <f t="shared" si="115"/>
        <v>9066.25</v>
      </c>
      <c r="AU93" s="209">
        <f t="shared" si="115"/>
        <v>0</v>
      </c>
      <c r="AV93" s="203"/>
      <c r="AW93" s="251">
        <f t="shared" si="132"/>
        <v>9066.25</v>
      </c>
      <c r="AX93" s="251"/>
      <c r="AY93" s="838">
        <f t="shared" si="133"/>
        <v>9066.25</v>
      </c>
      <c r="AZ93" s="838"/>
      <c r="BA93" s="839"/>
    </row>
    <row r="94" spans="2:53" s="76" customFormat="1" ht="58.5">
      <c r="B94" s="703">
        <f t="shared" si="114"/>
        <v>65</v>
      </c>
      <c r="C94" s="197" t="s">
        <v>1013</v>
      </c>
      <c r="D94" s="198" t="s">
        <v>1350</v>
      </c>
      <c r="E94" s="851" t="s">
        <v>1351</v>
      </c>
      <c r="F94" s="703">
        <v>10</v>
      </c>
      <c r="G94" s="199">
        <v>5815</v>
      </c>
      <c r="H94" s="736"/>
      <c r="I94" s="199"/>
      <c r="J94" s="736"/>
      <c r="K94" s="199"/>
      <c r="L94" s="199"/>
      <c r="M94" s="736"/>
      <c r="N94" s="199"/>
      <c r="O94" s="736"/>
      <c r="P94" s="199"/>
      <c r="Q94" s="199"/>
      <c r="R94" s="199">
        <f t="shared" si="117"/>
        <v>5815</v>
      </c>
      <c r="S94" s="199">
        <v>1</v>
      </c>
      <c r="T94" s="199"/>
      <c r="U94" s="199"/>
      <c r="V94" s="736"/>
      <c r="W94" s="199"/>
      <c r="X94" s="718">
        <v>2</v>
      </c>
      <c r="Y94" s="737">
        <v>0</v>
      </c>
      <c r="Z94" s="199">
        <f t="shared" si="118"/>
        <v>0</v>
      </c>
      <c r="AA94" s="199">
        <f>AH94</f>
        <v>1285</v>
      </c>
      <c r="AB94" s="199">
        <f>(R94+Z94)*S94+AA94</f>
        <v>7100</v>
      </c>
      <c r="AC94" s="738">
        <f t="shared" si="119"/>
        <v>12900</v>
      </c>
      <c r="AD94" s="738">
        <f t="shared" si="120"/>
        <v>20000</v>
      </c>
      <c r="AE94" s="202">
        <f t="shared" si="134"/>
        <v>20000</v>
      </c>
      <c r="AF94" s="202">
        <f t="shared" si="121"/>
        <v>12900</v>
      </c>
      <c r="AG94" s="738">
        <f t="shared" si="122"/>
        <v>7100</v>
      </c>
      <c r="AH94" s="202">
        <f>AG94-(R94*S94)</f>
        <v>1285</v>
      </c>
      <c r="AI94" s="203">
        <f t="shared" si="123"/>
        <v>5815</v>
      </c>
      <c r="AJ94" s="203">
        <f t="shared" si="124"/>
        <v>0</v>
      </c>
      <c r="AK94" s="203">
        <f>R94*S94</f>
        <v>5815</v>
      </c>
      <c r="AL94" s="203">
        <f t="shared" si="136"/>
        <v>0</v>
      </c>
      <c r="AM94" s="203">
        <f>AK94-AI94</f>
        <v>0</v>
      </c>
      <c r="AN94" s="203">
        <f>AL94-AJ94</f>
        <v>0</v>
      </c>
      <c r="AO94" s="205">
        <f>Z94*S94</f>
        <v>0</v>
      </c>
      <c r="AP94" s="205">
        <f>Z94*T94</f>
        <v>0</v>
      </c>
      <c r="AQ94" s="205">
        <f>AA94</f>
        <v>1285</v>
      </c>
      <c r="AR94" s="205">
        <f>W94*S94</f>
        <v>0</v>
      </c>
      <c r="AS94" s="205">
        <f>W94*T94</f>
        <v>0</v>
      </c>
      <c r="AT94" s="209">
        <f t="shared" si="115"/>
        <v>5815</v>
      </c>
      <c r="AU94" s="209">
        <f t="shared" si="115"/>
        <v>0</v>
      </c>
      <c r="AV94" s="203"/>
      <c r="AW94" s="251">
        <f t="shared" si="132"/>
        <v>5815</v>
      </c>
      <c r="AX94" s="251"/>
      <c r="AY94" s="838">
        <f t="shared" si="133"/>
        <v>5815</v>
      </c>
      <c r="AZ94" s="838"/>
      <c r="BA94" s="839"/>
    </row>
    <row r="95" spans="2:53" s="78" customFormat="1" ht="58.5">
      <c r="B95" s="703">
        <f t="shared" si="114"/>
        <v>66</v>
      </c>
      <c r="C95" s="197" t="s">
        <v>1013</v>
      </c>
      <c r="D95" s="198" t="s">
        <v>1762</v>
      </c>
      <c r="E95" s="851" t="s">
        <v>1763</v>
      </c>
      <c r="F95" s="703">
        <v>10</v>
      </c>
      <c r="G95" s="199">
        <v>5815</v>
      </c>
      <c r="H95" s="736"/>
      <c r="I95" s="199"/>
      <c r="J95" s="736"/>
      <c r="K95" s="199"/>
      <c r="L95" s="199"/>
      <c r="M95" s="736"/>
      <c r="N95" s="199"/>
      <c r="O95" s="736"/>
      <c r="P95" s="199"/>
      <c r="Q95" s="199"/>
      <c r="R95" s="199">
        <f t="shared" si="117"/>
        <v>5815</v>
      </c>
      <c r="S95" s="199">
        <v>1</v>
      </c>
      <c r="T95" s="199"/>
      <c r="U95" s="199"/>
      <c r="V95" s="736"/>
      <c r="W95" s="199"/>
      <c r="X95" s="718">
        <v>2</v>
      </c>
      <c r="Y95" s="737">
        <v>0</v>
      </c>
      <c r="Z95" s="199">
        <f t="shared" si="118"/>
        <v>0</v>
      </c>
      <c r="AA95" s="199">
        <f>AH95</f>
        <v>1285</v>
      </c>
      <c r="AB95" s="199">
        <f>(R95+Z95)*S95+AA95</f>
        <v>7100</v>
      </c>
      <c r="AC95" s="738">
        <f t="shared" si="119"/>
        <v>12900</v>
      </c>
      <c r="AD95" s="738">
        <f t="shared" si="120"/>
        <v>20000</v>
      </c>
      <c r="AE95" s="202">
        <f t="shared" si="134"/>
        <v>20000</v>
      </c>
      <c r="AF95" s="202">
        <f t="shared" si="121"/>
        <v>12900</v>
      </c>
      <c r="AG95" s="738">
        <f t="shared" si="122"/>
        <v>7100</v>
      </c>
      <c r="AH95" s="202">
        <f>AG95-(R95*S95)</f>
        <v>1285</v>
      </c>
      <c r="AI95" s="203">
        <f t="shared" si="123"/>
        <v>5815</v>
      </c>
      <c r="AJ95" s="203">
        <f t="shared" si="124"/>
        <v>0</v>
      </c>
      <c r="AK95" s="203">
        <f t="shared" si="125"/>
        <v>5815</v>
      </c>
      <c r="AL95" s="203">
        <f t="shared" si="136"/>
        <v>0</v>
      </c>
      <c r="AM95" s="203">
        <f t="shared" si="126"/>
        <v>0</v>
      </c>
      <c r="AN95" s="203">
        <f t="shared" si="126"/>
        <v>0</v>
      </c>
      <c r="AO95" s="205">
        <f t="shared" si="127"/>
        <v>0</v>
      </c>
      <c r="AP95" s="205">
        <f t="shared" si="128"/>
        <v>0</v>
      </c>
      <c r="AQ95" s="205">
        <f t="shared" si="129"/>
        <v>1285</v>
      </c>
      <c r="AR95" s="205">
        <f t="shared" si="130"/>
        <v>0</v>
      </c>
      <c r="AS95" s="205">
        <f t="shared" si="131"/>
        <v>0</v>
      </c>
      <c r="AT95" s="209">
        <f t="shared" si="115"/>
        <v>5815</v>
      </c>
      <c r="AU95" s="209">
        <f t="shared" si="115"/>
        <v>0</v>
      </c>
      <c r="AV95" s="203"/>
      <c r="AW95" s="251">
        <f t="shared" si="132"/>
        <v>5815</v>
      </c>
      <c r="AX95" s="251"/>
      <c r="AY95" s="838">
        <f t="shared" si="133"/>
        <v>5815</v>
      </c>
      <c r="AZ95" s="838"/>
      <c r="BA95" s="839"/>
    </row>
    <row r="96" spans="2:53" s="78" customFormat="1" ht="58.5">
      <c r="B96" s="703">
        <f t="shared" si="114"/>
        <v>67</v>
      </c>
      <c r="C96" s="197" t="s">
        <v>1014</v>
      </c>
      <c r="D96" s="198" t="s">
        <v>152</v>
      </c>
      <c r="E96" s="703" t="s">
        <v>1738</v>
      </c>
      <c r="F96" s="703">
        <v>13</v>
      </c>
      <c r="G96" s="199">
        <v>7253</v>
      </c>
      <c r="H96" s="718"/>
      <c r="I96" s="703"/>
      <c r="J96" s="736"/>
      <c r="K96" s="199"/>
      <c r="L96" s="703"/>
      <c r="M96" s="718"/>
      <c r="N96" s="199"/>
      <c r="O96" s="718"/>
      <c r="P96" s="703"/>
      <c r="Q96" s="703"/>
      <c r="R96" s="199">
        <f t="shared" si="117"/>
        <v>7253</v>
      </c>
      <c r="S96" s="199">
        <v>1</v>
      </c>
      <c r="T96" s="199"/>
      <c r="U96" s="703"/>
      <c r="V96" s="718"/>
      <c r="W96" s="703"/>
      <c r="X96" s="718">
        <v>38</v>
      </c>
      <c r="Y96" s="737">
        <v>0.3</v>
      </c>
      <c r="Z96" s="199">
        <f t="shared" si="118"/>
        <v>2175.9</v>
      </c>
      <c r="AA96" s="199"/>
      <c r="AB96" s="199">
        <f>(R96+Z96)*S96+AA96</f>
        <v>9428.9</v>
      </c>
      <c r="AC96" s="738">
        <f t="shared" si="119"/>
        <v>10571.1</v>
      </c>
      <c r="AD96" s="738">
        <f t="shared" si="120"/>
        <v>20000</v>
      </c>
      <c r="AE96" s="202">
        <f t="shared" si="134"/>
        <v>20000</v>
      </c>
      <c r="AF96" s="202">
        <f t="shared" si="121"/>
        <v>10571.1</v>
      </c>
      <c r="AG96" s="738">
        <f t="shared" si="122"/>
        <v>7100</v>
      </c>
      <c r="AH96" s="202">
        <f>AB96-AG96</f>
        <v>2328.8999999999996</v>
      </c>
      <c r="AI96" s="203">
        <f t="shared" si="123"/>
        <v>7253</v>
      </c>
      <c r="AJ96" s="203">
        <f>G96*T96</f>
        <v>0</v>
      </c>
      <c r="AK96" s="203">
        <f t="shared" si="125"/>
        <v>7253</v>
      </c>
      <c r="AL96" s="203">
        <f t="shared" si="136"/>
        <v>0</v>
      </c>
      <c r="AM96" s="203">
        <f t="shared" si="126"/>
        <v>0</v>
      </c>
      <c r="AN96" s="203">
        <f t="shared" si="126"/>
        <v>0</v>
      </c>
      <c r="AO96" s="205">
        <f t="shared" si="127"/>
        <v>2175.9</v>
      </c>
      <c r="AP96" s="205">
        <f t="shared" si="128"/>
        <v>0</v>
      </c>
      <c r="AQ96" s="205">
        <f t="shared" si="129"/>
        <v>0</v>
      </c>
      <c r="AR96" s="205">
        <f t="shared" si="130"/>
        <v>0</v>
      </c>
      <c r="AS96" s="205">
        <f t="shared" si="131"/>
        <v>0</v>
      </c>
      <c r="AT96" s="209">
        <f t="shared" si="115"/>
        <v>7253</v>
      </c>
      <c r="AU96" s="209">
        <f t="shared" si="115"/>
        <v>0</v>
      </c>
      <c r="AV96" s="203"/>
      <c r="AW96" s="251">
        <f t="shared" si="132"/>
        <v>7253</v>
      </c>
      <c r="AX96" s="251"/>
      <c r="AY96" s="838">
        <f t="shared" si="133"/>
        <v>7253</v>
      </c>
      <c r="AZ96" s="838"/>
      <c r="BA96" s="839"/>
    </row>
    <row r="97" spans="2:53" s="76" customFormat="1" ht="58.5">
      <c r="B97" s="703">
        <f t="shared" si="114"/>
        <v>68</v>
      </c>
      <c r="C97" s="197" t="s">
        <v>1017</v>
      </c>
      <c r="D97" s="198" t="s">
        <v>1352</v>
      </c>
      <c r="E97" s="703" t="s">
        <v>1018</v>
      </c>
      <c r="F97" s="703">
        <v>10</v>
      </c>
      <c r="G97" s="199">
        <v>5815</v>
      </c>
      <c r="H97" s="718"/>
      <c r="I97" s="703"/>
      <c r="J97" s="718"/>
      <c r="K97" s="703"/>
      <c r="L97" s="703"/>
      <c r="M97" s="718"/>
      <c r="N97" s="199"/>
      <c r="O97" s="737">
        <v>0.15</v>
      </c>
      <c r="P97" s="204">
        <f>G97*O97</f>
        <v>872.25</v>
      </c>
      <c r="Q97" s="201"/>
      <c r="R97" s="199">
        <f t="shared" si="117"/>
        <v>6687.25</v>
      </c>
      <c r="S97" s="199">
        <v>0.75</v>
      </c>
      <c r="T97" s="199"/>
      <c r="U97" s="194"/>
      <c r="V97" s="737"/>
      <c r="W97" s="194"/>
      <c r="X97" s="731">
        <v>10</v>
      </c>
      <c r="Y97" s="737">
        <v>0.2</v>
      </c>
      <c r="Z97" s="199">
        <f t="shared" si="118"/>
        <v>1337.45</v>
      </c>
      <c r="AA97" s="199"/>
      <c r="AB97" s="199">
        <f>(R97+Z97)*S97+AA97</f>
        <v>6018.5249999999996</v>
      </c>
      <c r="AC97" s="738">
        <f>AF97</f>
        <v>8981.4750000000004</v>
      </c>
      <c r="AD97" s="738">
        <f>AB97+AC97</f>
        <v>15000</v>
      </c>
      <c r="AE97" s="202">
        <f>20000*S97</f>
        <v>15000</v>
      </c>
      <c r="AF97" s="202">
        <f>AE97-AB97</f>
        <v>8981.4750000000004</v>
      </c>
      <c r="AG97" s="738">
        <f t="shared" si="122"/>
        <v>5325</v>
      </c>
      <c r="AH97" s="202">
        <f>AG97-((R97+Z97)*S97)</f>
        <v>-693.52499999999964</v>
      </c>
      <c r="AI97" s="203">
        <f t="shared" si="123"/>
        <v>4361.25</v>
      </c>
      <c r="AJ97" s="203">
        <f>G97*T97</f>
        <v>0</v>
      </c>
      <c r="AK97" s="203">
        <f t="shared" si="125"/>
        <v>5015.4375</v>
      </c>
      <c r="AL97" s="203">
        <f t="shared" si="136"/>
        <v>0</v>
      </c>
      <c r="AM97" s="203">
        <f t="shared" si="126"/>
        <v>654.1875</v>
      </c>
      <c r="AN97" s="203">
        <f t="shared" si="126"/>
        <v>0</v>
      </c>
      <c r="AO97" s="205">
        <f t="shared" si="127"/>
        <v>1003.0875000000001</v>
      </c>
      <c r="AP97" s="205">
        <f t="shared" si="128"/>
        <v>0</v>
      </c>
      <c r="AQ97" s="205">
        <f t="shared" si="129"/>
        <v>0</v>
      </c>
      <c r="AR97" s="205">
        <f t="shared" si="130"/>
        <v>0</v>
      </c>
      <c r="AS97" s="205">
        <f t="shared" si="131"/>
        <v>0</v>
      </c>
      <c r="AT97" s="209">
        <f t="shared" si="115"/>
        <v>5015.4375</v>
      </c>
      <c r="AU97" s="209">
        <f t="shared" si="115"/>
        <v>0</v>
      </c>
      <c r="AV97" s="203"/>
      <c r="AW97" s="251">
        <f t="shared" si="132"/>
        <v>5015.4375</v>
      </c>
      <c r="AX97" s="251"/>
      <c r="AY97" s="838">
        <f t="shared" si="133"/>
        <v>5015.4375</v>
      </c>
      <c r="AZ97" s="838"/>
      <c r="BA97" s="839"/>
    </row>
    <row r="98" spans="2:53" s="76" customFormat="1" ht="74.25" customHeight="1">
      <c r="B98" s="703">
        <f>1+B97</f>
        <v>69</v>
      </c>
      <c r="C98" s="197" t="s">
        <v>1017</v>
      </c>
      <c r="D98" s="198" t="s">
        <v>153</v>
      </c>
      <c r="E98" s="703" t="s">
        <v>1019</v>
      </c>
      <c r="F98" s="703">
        <v>12</v>
      </c>
      <c r="G98" s="199">
        <v>6773</v>
      </c>
      <c r="H98" s="718"/>
      <c r="I98" s="703"/>
      <c r="J98" s="718"/>
      <c r="K98" s="703"/>
      <c r="L98" s="703"/>
      <c r="M98" s="718"/>
      <c r="N98" s="199"/>
      <c r="O98" s="737">
        <v>0.15</v>
      </c>
      <c r="P98" s="204">
        <f>G98*O98</f>
        <v>1015.9499999999999</v>
      </c>
      <c r="Q98" s="201"/>
      <c r="R98" s="199">
        <f>G98+I98+K98+L98+N98+P98+Q98</f>
        <v>7788.95</v>
      </c>
      <c r="S98" s="199"/>
      <c r="T98" s="199">
        <v>0.5</v>
      </c>
      <c r="U98" s="194"/>
      <c r="V98" s="737"/>
      <c r="W98" s="194"/>
      <c r="X98" s="731">
        <v>16</v>
      </c>
      <c r="Y98" s="737">
        <v>0.2</v>
      </c>
      <c r="Z98" s="199">
        <f>R98*Y98</f>
        <v>1557.79</v>
      </c>
      <c r="AA98" s="204"/>
      <c r="AB98" s="199">
        <f>(R98+Z98)*T98+AA98</f>
        <v>4673.37</v>
      </c>
      <c r="AC98" s="738">
        <f t="shared" si="119"/>
        <v>5326.63</v>
      </c>
      <c r="AD98" s="738">
        <f t="shared" si="120"/>
        <v>10000</v>
      </c>
      <c r="AE98" s="202">
        <f>20000*T98</f>
        <v>10000</v>
      </c>
      <c r="AF98" s="202">
        <f t="shared" si="121"/>
        <v>5326.63</v>
      </c>
      <c r="AG98" s="738">
        <f>7100*T98</f>
        <v>3550</v>
      </c>
      <c r="AH98" s="202">
        <f>AB98-AG98</f>
        <v>1123.3699999999999</v>
      </c>
      <c r="AI98" s="203">
        <f>G98*T98</f>
        <v>3386.5</v>
      </c>
      <c r="AJ98" s="203">
        <f>G98*T98</f>
        <v>3386.5</v>
      </c>
      <c r="AK98" s="203">
        <f>R98*T98</f>
        <v>3894.4749999999999</v>
      </c>
      <c r="AL98" s="203">
        <f t="shared" si="136"/>
        <v>3894.4749999999999</v>
      </c>
      <c r="AM98" s="203">
        <f t="shared" si="126"/>
        <v>507.97499999999991</v>
      </c>
      <c r="AN98" s="203">
        <f t="shared" si="126"/>
        <v>507.97499999999991</v>
      </c>
      <c r="AO98" s="205">
        <f>Z98*T98</f>
        <v>778.89499999999998</v>
      </c>
      <c r="AP98" s="205">
        <f t="shared" si="128"/>
        <v>778.89499999999998</v>
      </c>
      <c r="AQ98" s="205">
        <f>AA98</f>
        <v>0</v>
      </c>
      <c r="AR98" s="205">
        <f>W98*T98</f>
        <v>0</v>
      </c>
      <c r="AS98" s="205">
        <f t="shared" si="131"/>
        <v>0</v>
      </c>
      <c r="AT98" s="209">
        <f>AK98</f>
        <v>3894.4749999999999</v>
      </c>
      <c r="AU98" s="209">
        <f t="shared" si="115"/>
        <v>3894.4749999999999</v>
      </c>
      <c r="AV98" s="203"/>
      <c r="AW98" s="251">
        <f>R98*T98</f>
        <v>3894.4749999999999</v>
      </c>
      <c r="AX98" s="251"/>
      <c r="AY98" s="838">
        <f t="shared" si="133"/>
        <v>3894.4749999999999</v>
      </c>
      <c r="AZ98" s="838"/>
      <c r="BA98" s="839"/>
    </row>
    <row r="99" spans="2:53" s="76" customFormat="1" ht="74.25" customHeight="1">
      <c r="B99" s="703">
        <f t="shared" si="114"/>
        <v>70</v>
      </c>
      <c r="C99" s="197" t="s">
        <v>1017</v>
      </c>
      <c r="D99" s="198" t="s">
        <v>154</v>
      </c>
      <c r="E99" s="703" t="s">
        <v>1059</v>
      </c>
      <c r="F99" s="703">
        <v>10</v>
      </c>
      <c r="G99" s="199">
        <v>5815</v>
      </c>
      <c r="H99" s="718"/>
      <c r="I99" s="703"/>
      <c r="J99" s="718"/>
      <c r="K99" s="703"/>
      <c r="L99" s="703"/>
      <c r="M99" s="718"/>
      <c r="N99" s="199"/>
      <c r="O99" s="737">
        <v>0.15</v>
      </c>
      <c r="P99" s="204">
        <f>G99*O99</f>
        <v>872.25</v>
      </c>
      <c r="Q99" s="201"/>
      <c r="R99" s="199">
        <f>G99+I99+K99+L99+N99+P99+Q99</f>
        <v>6687.25</v>
      </c>
      <c r="S99" s="199"/>
      <c r="T99" s="199">
        <v>0.25</v>
      </c>
      <c r="U99" s="194"/>
      <c r="V99" s="737"/>
      <c r="W99" s="194"/>
      <c r="X99" s="731">
        <v>4</v>
      </c>
      <c r="Y99" s="737">
        <v>0.1</v>
      </c>
      <c r="Z99" s="199">
        <f>R99*Y99</f>
        <v>668.72500000000002</v>
      </c>
      <c r="AA99" s="204"/>
      <c r="AB99" s="199">
        <f>(R99+Z99)*T99+AA99</f>
        <v>1838.9937500000001</v>
      </c>
      <c r="AC99" s="738">
        <f t="shared" si="119"/>
        <v>3161.0062499999999</v>
      </c>
      <c r="AD99" s="738">
        <f>AB99+AC99</f>
        <v>5000</v>
      </c>
      <c r="AE99" s="202">
        <f>20000*T99</f>
        <v>5000</v>
      </c>
      <c r="AF99" s="202">
        <f>AE99-AB99</f>
        <v>3161.0062499999999</v>
      </c>
      <c r="AG99" s="738">
        <f>7100*T99</f>
        <v>1775</v>
      </c>
      <c r="AH99" s="202">
        <f>AG99-((R99+Z99)*T99)</f>
        <v>-63.993750000000091</v>
      </c>
      <c r="AI99" s="203">
        <f>G99*S99</f>
        <v>0</v>
      </c>
      <c r="AJ99" s="203">
        <f>G99*T99</f>
        <v>1453.75</v>
      </c>
      <c r="AK99" s="203">
        <f>R99*T99</f>
        <v>1671.8125</v>
      </c>
      <c r="AL99" s="203">
        <f t="shared" si="136"/>
        <v>1671.8125</v>
      </c>
      <c r="AM99" s="203"/>
      <c r="AN99" s="203"/>
      <c r="AO99" s="205"/>
      <c r="AP99" s="205"/>
      <c r="AQ99" s="205"/>
      <c r="AR99" s="205"/>
      <c r="AS99" s="205"/>
      <c r="AT99" s="209"/>
      <c r="AU99" s="209"/>
      <c r="AV99" s="203"/>
      <c r="AW99" s="251">
        <f>R99*T99</f>
        <v>1671.8125</v>
      </c>
      <c r="AX99" s="251"/>
      <c r="AY99" s="838">
        <f t="shared" si="133"/>
        <v>1671.8125</v>
      </c>
      <c r="AZ99" s="838"/>
      <c r="BA99" s="839"/>
    </row>
    <row r="100" spans="2:53" s="76" customFormat="1" ht="58.5">
      <c r="B100" s="703">
        <f t="shared" si="114"/>
        <v>71</v>
      </c>
      <c r="C100" s="197" t="s">
        <v>1742</v>
      </c>
      <c r="D100" s="198" t="s">
        <v>1761</v>
      </c>
      <c r="E100" s="703" t="s">
        <v>1743</v>
      </c>
      <c r="F100" s="703">
        <v>13</v>
      </c>
      <c r="G100" s="199">
        <v>7253</v>
      </c>
      <c r="H100" s="718"/>
      <c r="I100" s="703"/>
      <c r="J100" s="718"/>
      <c r="K100" s="703"/>
      <c r="L100" s="703"/>
      <c r="M100" s="718"/>
      <c r="N100" s="199"/>
      <c r="O100" s="737">
        <v>0.15</v>
      </c>
      <c r="P100" s="204">
        <f>G100*O100</f>
        <v>1087.95</v>
      </c>
      <c r="Q100" s="201"/>
      <c r="R100" s="199">
        <f t="shared" si="117"/>
        <v>8340.9500000000007</v>
      </c>
      <c r="S100" s="199"/>
      <c r="T100" s="199">
        <v>0.25</v>
      </c>
      <c r="U100" s="194"/>
      <c r="V100" s="737"/>
      <c r="W100" s="194"/>
      <c r="X100" s="731">
        <v>25</v>
      </c>
      <c r="Y100" s="737">
        <v>0.3</v>
      </c>
      <c r="Z100" s="199">
        <f>R100*Y100</f>
        <v>2502.2850000000003</v>
      </c>
      <c r="AA100" s="199"/>
      <c r="AB100" s="199">
        <f>(R100+Z100)*T100</f>
        <v>2710.8087500000001</v>
      </c>
      <c r="AC100" s="738">
        <f>AF100</f>
        <v>2289.1912499999999</v>
      </c>
      <c r="AD100" s="738">
        <f>AB100+AC100</f>
        <v>5000</v>
      </c>
      <c r="AE100" s="202">
        <f>20000*T100</f>
        <v>5000</v>
      </c>
      <c r="AF100" s="202">
        <f>AE100-AB100</f>
        <v>2289.1912499999999</v>
      </c>
      <c r="AG100" s="738">
        <f>7100*T100</f>
        <v>1775</v>
      </c>
      <c r="AH100" s="202">
        <f t="shared" si="135"/>
        <v>935.80875000000015</v>
      </c>
      <c r="AI100" s="203">
        <f t="shared" si="123"/>
        <v>0</v>
      </c>
      <c r="AJ100" s="203">
        <f t="shared" si="124"/>
        <v>1813.25</v>
      </c>
      <c r="AK100" s="203">
        <f t="shared" si="125"/>
        <v>0</v>
      </c>
      <c r="AL100" s="203">
        <f t="shared" si="136"/>
        <v>2085.2375000000002</v>
      </c>
      <c r="AM100" s="203">
        <f t="shared" si="126"/>
        <v>0</v>
      </c>
      <c r="AN100" s="203">
        <f t="shared" si="126"/>
        <v>271.98750000000018</v>
      </c>
      <c r="AO100" s="205">
        <f t="shared" si="127"/>
        <v>0</v>
      </c>
      <c r="AP100" s="205">
        <f t="shared" si="128"/>
        <v>625.57125000000008</v>
      </c>
      <c r="AQ100" s="205">
        <f t="shared" si="129"/>
        <v>0</v>
      </c>
      <c r="AR100" s="205">
        <f t="shared" si="130"/>
        <v>0</v>
      </c>
      <c r="AS100" s="205">
        <f t="shared" si="131"/>
        <v>0</v>
      </c>
      <c r="AT100" s="209">
        <f t="shared" si="115"/>
        <v>0</v>
      </c>
      <c r="AU100" s="209">
        <f t="shared" si="115"/>
        <v>2085.2375000000002</v>
      </c>
      <c r="AV100" s="203"/>
      <c r="AW100" s="251">
        <f>R100*T100</f>
        <v>2085.2375000000002</v>
      </c>
      <c r="AX100" s="251"/>
      <c r="AY100" s="838">
        <f>AW100</f>
        <v>2085.2375000000002</v>
      </c>
      <c r="AZ100" s="838"/>
      <c r="BA100" s="839"/>
    </row>
    <row r="101" spans="2:53" s="76" customFormat="1" ht="58.5">
      <c r="B101" s="703">
        <f t="shared" si="114"/>
        <v>72</v>
      </c>
      <c r="C101" s="197" t="s">
        <v>1744</v>
      </c>
      <c r="D101" s="198" t="s">
        <v>1745</v>
      </c>
      <c r="E101" s="703" t="s">
        <v>1746</v>
      </c>
      <c r="F101" s="703">
        <v>12</v>
      </c>
      <c r="G101" s="199">
        <v>6773</v>
      </c>
      <c r="H101" s="736"/>
      <c r="I101" s="199"/>
      <c r="J101" s="736"/>
      <c r="K101" s="199"/>
      <c r="L101" s="199"/>
      <c r="M101" s="736"/>
      <c r="N101" s="199"/>
      <c r="O101" s="736"/>
      <c r="P101" s="199"/>
      <c r="Q101" s="199"/>
      <c r="R101" s="199">
        <f t="shared" si="117"/>
        <v>6773</v>
      </c>
      <c r="S101" s="199"/>
      <c r="T101" s="199">
        <v>0.5</v>
      </c>
      <c r="U101" s="199"/>
      <c r="V101" s="736"/>
      <c r="W101" s="199"/>
      <c r="X101" s="741">
        <v>25</v>
      </c>
      <c r="Y101" s="737">
        <v>0.3</v>
      </c>
      <c r="Z101" s="199">
        <f t="shared" si="118"/>
        <v>2031.8999999999999</v>
      </c>
      <c r="AA101" s="199"/>
      <c r="AB101" s="199">
        <f>(R101+Z101)*T101+AA101</f>
        <v>4402.45</v>
      </c>
      <c r="AC101" s="738">
        <f>AF101</f>
        <v>5597.55</v>
      </c>
      <c r="AD101" s="738">
        <f>AB101+AC101</f>
        <v>10000</v>
      </c>
      <c r="AE101" s="202">
        <f>20000*T101</f>
        <v>10000</v>
      </c>
      <c r="AF101" s="202">
        <f>AE101-AB101</f>
        <v>5597.55</v>
      </c>
      <c r="AG101" s="738">
        <f>7100*T101</f>
        <v>3550</v>
      </c>
      <c r="AH101" s="202">
        <f t="shared" si="135"/>
        <v>852.44999999999982</v>
      </c>
      <c r="AI101" s="203">
        <f>G101*S101</f>
        <v>0</v>
      </c>
      <c r="AJ101" s="203">
        <f t="shared" si="124"/>
        <v>3386.5</v>
      </c>
      <c r="AK101" s="203">
        <f t="shared" si="125"/>
        <v>0</v>
      </c>
      <c r="AL101" s="203">
        <f>R101*T101</f>
        <v>3386.5</v>
      </c>
      <c r="AM101" s="203">
        <f t="shared" si="126"/>
        <v>0</v>
      </c>
      <c r="AN101" s="203">
        <f t="shared" si="126"/>
        <v>0</v>
      </c>
      <c r="AO101" s="205">
        <f t="shared" si="127"/>
        <v>0</v>
      </c>
      <c r="AP101" s="205">
        <f t="shared" si="128"/>
        <v>1015.9499999999999</v>
      </c>
      <c r="AQ101" s="205">
        <f t="shared" si="129"/>
        <v>0</v>
      </c>
      <c r="AR101" s="205">
        <f t="shared" si="130"/>
        <v>0</v>
      </c>
      <c r="AS101" s="205">
        <f t="shared" si="131"/>
        <v>0</v>
      </c>
      <c r="AT101" s="209">
        <f t="shared" si="115"/>
        <v>0</v>
      </c>
      <c r="AU101" s="209">
        <f t="shared" si="115"/>
        <v>3386.5</v>
      </c>
      <c r="AV101" s="203"/>
      <c r="AW101" s="251">
        <f>R101*T101</f>
        <v>3386.5</v>
      </c>
      <c r="AX101" s="251"/>
      <c r="AY101" s="838">
        <f t="shared" si="133"/>
        <v>3386.5</v>
      </c>
      <c r="AZ101" s="838"/>
      <c r="BA101" s="839"/>
    </row>
    <row r="102" spans="2:53" s="76" customFormat="1" hidden="1">
      <c r="B102" s="703">
        <f t="shared" si="114"/>
        <v>73</v>
      </c>
      <c r="C102" s="197" t="s">
        <v>1744</v>
      </c>
      <c r="D102" s="198"/>
      <c r="E102" s="703"/>
      <c r="F102" s="703"/>
      <c r="G102" s="199"/>
      <c r="H102" s="736"/>
      <c r="I102" s="199"/>
      <c r="J102" s="736"/>
      <c r="K102" s="199"/>
      <c r="L102" s="199"/>
      <c r="M102" s="736"/>
      <c r="N102" s="199"/>
      <c r="O102" s="736"/>
      <c r="P102" s="199"/>
      <c r="Q102" s="199"/>
      <c r="R102" s="199">
        <f t="shared" si="117"/>
        <v>0</v>
      </c>
      <c r="S102" s="199"/>
      <c r="T102" s="199"/>
      <c r="U102" s="199"/>
      <c r="V102" s="736"/>
      <c r="W102" s="199"/>
      <c r="X102" s="741"/>
      <c r="Y102" s="737">
        <v>0.3</v>
      </c>
      <c r="Z102" s="199">
        <f t="shared" si="118"/>
        <v>0</v>
      </c>
      <c r="AA102" s="199"/>
      <c r="AB102" s="199">
        <f>(R102+Z102)*S102</f>
        <v>0</v>
      </c>
      <c r="AC102" s="738">
        <f>AF102</f>
        <v>0</v>
      </c>
      <c r="AD102" s="738">
        <f>AB102+AC102</f>
        <v>0</v>
      </c>
      <c r="AE102" s="202">
        <f>20000*S102</f>
        <v>0</v>
      </c>
      <c r="AF102" s="202">
        <f>AE102-AB102</f>
        <v>0</v>
      </c>
      <c r="AG102" s="738">
        <f>7100*S102</f>
        <v>0</v>
      </c>
      <c r="AH102" s="202">
        <f>AB102-AG102</f>
        <v>0</v>
      </c>
      <c r="AI102" s="203">
        <f>G102*S102</f>
        <v>0</v>
      </c>
      <c r="AJ102" s="203">
        <f t="shared" si="124"/>
        <v>0</v>
      </c>
      <c r="AK102" s="203">
        <f t="shared" si="125"/>
        <v>0</v>
      </c>
      <c r="AL102" s="203">
        <f>R102*T102</f>
        <v>0</v>
      </c>
      <c r="AM102" s="203">
        <f t="shared" si="126"/>
        <v>0</v>
      </c>
      <c r="AN102" s="203">
        <f t="shared" si="126"/>
        <v>0</v>
      </c>
      <c r="AO102" s="205">
        <f t="shared" si="127"/>
        <v>0</v>
      </c>
      <c r="AP102" s="205">
        <f t="shared" si="128"/>
        <v>0</v>
      </c>
      <c r="AQ102" s="205">
        <f t="shared" si="129"/>
        <v>0</v>
      </c>
      <c r="AR102" s="205">
        <f t="shared" si="130"/>
        <v>0</v>
      </c>
      <c r="AS102" s="205">
        <f t="shared" si="131"/>
        <v>0</v>
      </c>
      <c r="AT102" s="209">
        <f t="shared" si="115"/>
        <v>0</v>
      </c>
      <c r="AU102" s="209">
        <f t="shared" si="115"/>
        <v>0</v>
      </c>
      <c r="AV102" s="203"/>
      <c r="AW102" s="251">
        <f>R102*S102</f>
        <v>0</v>
      </c>
      <c r="AX102" s="251"/>
      <c r="AY102" s="838">
        <f t="shared" si="133"/>
        <v>0</v>
      </c>
      <c r="AZ102" s="838"/>
      <c r="BA102" s="839"/>
    </row>
    <row r="103" spans="2:53" s="76" customFormat="1" ht="58.5">
      <c r="B103" s="703">
        <f>B101+1</f>
        <v>73</v>
      </c>
      <c r="C103" s="197" t="s">
        <v>1747</v>
      </c>
      <c r="D103" s="198" t="s">
        <v>1748</v>
      </c>
      <c r="E103" s="703" t="s">
        <v>1749</v>
      </c>
      <c r="F103" s="703">
        <v>13</v>
      </c>
      <c r="G103" s="199">
        <v>7253</v>
      </c>
      <c r="H103" s="736"/>
      <c r="I103" s="199"/>
      <c r="J103" s="736"/>
      <c r="K103" s="199"/>
      <c r="L103" s="199"/>
      <c r="M103" s="736"/>
      <c r="N103" s="199"/>
      <c r="O103" s="737">
        <v>0.15</v>
      </c>
      <c r="P103" s="204">
        <f>G103*O103</f>
        <v>1087.95</v>
      </c>
      <c r="Q103" s="201"/>
      <c r="R103" s="199">
        <f t="shared" si="117"/>
        <v>8340.9500000000007</v>
      </c>
      <c r="S103" s="199">
        <v>1</v>
      </c>
      <c r="T103" s="199"/>
      <c r="U103" s="199"/>
      <c r="V103" s="737"/>
      <c r="W103" s="199"/>
      <c r="X103" s="849">
        <v>25</v>
      </c>
      <c r="Y103" s="737">
        <v>0.3</v>
      </c>
      <c r="Z103" s="199">
        <f t="shared" si="118"/>
        <v>2502.2850000000003</v>
      </c>
      <c r="AA103" s="199"/>
      <c r="AB103" s="199">
        <f>(R103+Z103)*S103</f>
        <v>10843.235000000001</v>
      </c>
      <c r="AC103" s="738">
        <f t="shared" si="119"/>
        <v>9156.7649999999994</v>
      </c>
      <c r="AD103" s="738">
        <f t="shared" si="120"/>
        <v>20000</v>
      </c>
      <c r="AE103" s="202">
        <f>20000*S103</f>
        <v>20000</v>
      </c>
      <c r="AF103" s="202">
        <f t="shared" si="121"/>
        <v>9156.7649999999994</v>
      </c>
      <c r="AG103" s="738">
        <f>7100*S103</f>
        <v>7100</v>
      </c>
      <c r="AH103" s="202">
        <f t="shared" si="135"/>
        <v>3743.2350000000006</v>
      </c>
      <c r="AI103" s="203">
        <f>G103*S103</f>
        <v>7253</v>
      </c>
      <c r="AJ103" s="203">
        <f t="shared" si="124"/>
        <v>0</v>
      </c>
      <c r="AK103" s="203">
        <f t="shared" si="125"/>
        <v>8340.9500000000007</v>
      </c>
      <c r="AL103" s="203">
        <f t="shared" ref="AL103:AL112" si="137">R103*T103</f>
        <v>0</v>
      </c>
      <c r="AM103" s="203">
        <f t="shared" si="126"/>
        <v>1087.9500000000007</v>
      </c>
      <c r="AN103" s="203">
        <f t="shared" si="126"/>
        <v>0</v>
      </c>
      <c r="AO103" s="205">
        <f t="shared" si="127"/>
        <v>2502.2850000000003</v>
      </c>
      <c r="AP103" s="205">
        <f t="shared" si="128"/>
        <v>0</v>
      </c>
      <c r="AQ103" s="205">
        <f t="shared" si="129"/>
        <v>0</v>
      </c>
      <c r="AR103" s="205">
        <f t="shared" si="130"/>
        <v>0</v>
      </c>
      <c r="AS103" s="205">
        <f t="shared" si="131"/>
        <v>0</v>
      </c>
      <c r="AT103" s="209">
        <f t="shared" si="115"/>
        <v>8340.9500000000007</v>
      </c>
      <c r="AU103" s="209">
        <f t="shared" si="115"/>
        <v>0</v>
      </c>
      <c r="AV103" s="203"/>
      <c r="AW103" s="251">
        <f>R103*S103</f>
        <v>8340.9500000000007</v>
      </c>
      <c r="AX103" s="251"/>
      <c r="AY103" s="838">
        <f t="shared" si="133"/>
        <v>8340.9500000000007</v>
      </c>
      <c r="AZ103" s="838"/>
      <c r="BA103" s="839"/>
    </row>
    <row r="104" spans="2:53" s="76" customFormat="1" ht="58.5">
      <c r="B104" s="703">
        <f t="shared" si="114"/>
        <v>74</v>
      </c>
      <c r="C104" s="197" t="s">
        <v>1750</v>
      </c>
      <c r="D104" s="198" t="s">
        <v>155</v>
      </c>
      <c r="E104" s="703" t="s">
        <v>156</v>
      </c>
      <c r="F104" s="703">
        <v>10</v>
      </c>
      <c r="G104" s="199">
        <v>5815</v>
      </c>
      <c r="H104" s="718"/>
      <c r="I104" s="703"/>
      <c r="J104" s="718"/>
      <c r="K104" s="703"/>
      <c r="L104" s="703"/>
      <c r="M104" s="718"/>
      <c r="N104" s="199"/>
      <c r="O104" s="737">
        <v>0.25</v>
      </c>
      <c r="P104" s="204">
        <f>G104*O104</f>
        <v>1453.75</v>
      </c>
      <c r="Q104" s="201"/>
      <c r="R104" s="199">
        <f t="shared" si="117"/>
        <v>7268.75</v>
      </c>
      <c r="S104" s="199"/>
      <c r="T104" s="199">
        <v>0.25</v>
      </c>
      <c r="U104" s="194"/>
      <c r="V104" s="737"/>
      <c r="W104" s="194"/>
      <c r="X104" s="731">
        <v>22</v>
      </c>
      <c r="Y104" s="737">
        <v>0.3</v>
      </c>
      <c r="Z104" s="199">
        <f>R104*Y104</f>
        <v>2180.625</v>
      </c>
      <c r="AA104" s="204"/>
      <c r="AB104" s="199">
        <f>(R104+Z104)*T104+AA104</f>
        <v>2362.34375</v>
      </c>
      <c r="AC104" s="738">
        <f t="shared" si="119"/>
        <v>2637.65625</v>
      </c>
      <c r="AD104" s="738">
        <f t="shared" si="120"/>
        <v>5000</v>
      </c>
      <c r="AE104" s="202">
        <f>20000*T104</f>
        <v>5000</v>
      </c>
      <c r="AF104" s="202">
        <f t="shared" si="121"/>
        <v>2637.65625</v>
      </c>
      <c r="AG104" s="738">
        <f>7100*T104</f>
        <v>1775</v>
      </c>
      <c r="AH104" s="202">
        <f t="shared" si="135"/>
        <v>587.34375</v>
      </c>
      <c r="AI104" s="203">
        <f>G104*T104</f>
        <v>1453.75</v>
      </c>
      <c r="AJ104" s="203">
        <f t="shared" si="124"/>
        <v>1453.75</v>
      </c>
      <c r="AK104" s="203">
        <f>R104*T104</f>
        <v>1817.1875</v>
      </c>
      <c r="AL104" s="203">
        <f t="shared" si="137"/>
        <v>1817.1875</v>
      </c>
      <c r="AM104" s="203">
        <f t="shared" ref="AM104:AN106" si="138">AK104-AI104</f>
        <v>363.4375</v>
      </c>
      <c r="AN104" s="203">
        <f t="shared" si="138"/>
        <v>363.4375</v>
      </c>
      <c r="AO104" s="205">
        <f t="shared" si="127"/>
        <v>0</v>
      </c>
      <c r="AP104" s="205">
        <f t="shared" si="128"/>
        <v>545.15625</v>
      </c>
      <c r="AQ104" s="205">
        <f t="shared" si="129"/>
        <v>0</v>
      </c>
      <c r="AR104" s="205">
        <f t="shared" si="130"/>
        <v>0</v>
      </c>
      <c r="AS104" s="205">
        <f t="shared" si="131"/>
        <v>0</v>
      </c>
      <c r="AT104" s="209">
        <f>AK104</f>
        <v>1817.1875</v>
      </c>
      <c r="AU104" s="209">
        <f t="shared" si="115"/>
        <v>1817.1875</v>
      </c>
      <c r="AV104" s="203"/>
      <c r="AW104" s="251">
        <f>R104*T104</f>
        <v>1817.1875</v>
      </c>
      <c r="AX104" s="251"/>
      <c r="AY104" s="838">
        <f t="shared" si="133"/>
        <v>1817.1875</v>
      </c>
      <c r="AZ104" s="838"/>
      <c r="BA104" s="839"/>
    </row>
    <row r="105" spans="2:53" s="76" customFormat="1" ht="58.5">
      <c r="B105" s="703">
        <f t="shared" si="114"/>
        <v>75</v>
      </c>
      <c r="C105" s="197" t="s">
        <v>1029</v>
      </c>
      <c r="D105" s="198" t="s">
        <v>1005</v>
      </c>
      <c r="E105" s="703" t="s">
        <v>1006</v>
      </c>
      <c r="F105" s="703">
        <v>13</v>
      </c>
      <c r="G105" s="199">
        <v>7253</v>
      </c>
      <c r="H105" s="736"/>
      <c r="I105" s="199"/>
      <c r="J105" s="736"/>
      <c r="K105" s="199"/>
      <c r="L105" s="199"/>
      <c r="M105" s="736"/>
      <c r="N105" s="199"/>
      <c r="O105" s="736"/>
      <c r="P105" s="199"/>
      <c r="Q105" s="199"/>
      <c r="R105" s="199">
        <f>G105+I105+K105+L105+N105+P105+Q105</f>
        <v>7253</v>
      </c>
      <c r="S105" s="199">
        <v>1</v>
      </c>
      <c r="T105" s="199"/>
      <c r="U105" s="199"/>
      <c r="V105" s="736"/>
      <c r="W105" s="199"/>
      <c r="X105" s="718">
        <v>22</v>
      </c>
      <c r="Y105" s="737">
        <v>0.3</v>
      </c>
      <c r="Z105" s="199">
        <f>R105*Y105</f>
        <v>2175.9</v>
      </c>
      <c r="AA105" s="199"/>
      <c r="AB105" s="199">
        <f>(R105+Z105)*S105</f>
        <v>9428.9</v>
      </c>
      <c r="AC105" s="738">
        <f t="shared" si="119"/>
        <v>10571.1</v>
      </c>
      <c r="AD105" s="738">
        <f t="shared" si="120"/>
        <v>20000</v>
      </c>
      <c r="AE105" s="202">
        <f>20000*S105</f>
        <v>20000</v>
      </c>
      <c r="AF105" s="202">
        <f t="shared" si="121"/>
        <v>10571.1</v>
      </c>
      <c r="AG105" s="738">
        <f>7100*S105</f>
        <v>7100</v>
      </c>
      <c r="AH105" s="202">
        <f t="shared" si="135"/>
        <v>2328.8999999999996</v>
      </c>
      <c r="AI105" s="203">
        <f>G105*S105</f>
        <v>7253</v>
      </c>
      <c r="AJ105" s="203">
        <f>G105*T105</f>
        <v>0</v>
      </c>
      <c r="AK105" s="203">
        <f>R105*S105</f>
        <v>7253</v>
      </c>
      <c r="AL105" s="203">
        <f t="shared" si="137"/>
        <v>0</v>
      </c>
      <c r="AM105" s="203">
        <f t="shared" si="138"/>
        <v>0</v>
      </c>
      <c r="AN105" s="203">
        <f t="shared" si="138"/>
        <v>0</v>
      </c>
      <c r="AO105" s="205">
        <f>Z105*S105</f>
        <v>2175.9</v>
      </c>
      <c r="AP105" s="205">
        <f>Z105*T105</f>
        <v>0</v>
      </c>
      <c r="AQ105" s="205">
        <f>AA105</f>
        <v>0</v>
      </c>
      <c r="AR105" s="205">
        <f>W105*S105</f>
        <v>0</v>
      </c>
      <c r="AS105" s="205">
        <f>W105*T105</f>
        <v>0</v>
      </c>
      <c r="AT105" s="209">
        <f t="shared" si="115"/>
        <v>7253</v>
      </c>
      <c r="AU105" s="209">
        <f>AL105</f>
        <v>0</v>
      </c>
      <c r="AV105" s="203"/>
      <c r="AW105" s="251">
        <f>R105*S105</f>
        <v>7253</v>
      </c>
      <c r="AX105" s="251"/>
      <c r="AY105" s="838">
        <f t="shared" si="133"/>
        <v>7253</v>
      </c>
      <c r="AZ105" s="838"/>
      <c r="BA105" s="839"/>
    </row>
    <row r="106" spans="2:53" s="76" customFormat="1">
      <c r="B106" s="703">
        <f t="shared" si="114"/>
        <v>76</v>
      </c>
      <c r="C106" s="197" t="s">
        <v>1009</v>
      </c>
      <c r="D106" s="198" t="s">
        <v>157</v>
      </c>
      <c r="E106" s="703" t="s">
        <v>158</v>
      </c>
      <c r="F106" s="703">
        <v>14</v>
      </c>
      <c r="G106" s="199">
        <v>7732</v>
      </c>
      <c r="H106" s="718"/>
      <c r="I106" s="703"/>
      <c r="J106" s="737">
        <v>0.15</v>
      </c>
      <c r="K106" s="204">
        <f>(G106+I106)*J106</f>
        <v>1159.8</v>
      </c>
      <c r="L106" s="703"/>
      <c r="M106" s="718"/>
      <c r="N106" s="199"/>
      <c r="O106" s="718"/>
      <c r="P106" s="703"/>
      <c r="Q106" s="703"/>
      <c r="R106" s="199">
        <f t="shared" si="117"/>
        <v>8891.7999999999993</v>
      </c>
      <c r="S106" s="199"/>
      <c r="T106" s="199">
        <v>0.25</v>
      </c>
      <c r="U106" s="703"/>
      <c r="V106" s="718"/>
      <c r="W106" s="703"/>
      <c r="X106" s="718">
        <v>22</v>
      </c>
      <c r="Y106" s="737">
        <v>0.3</v>
      </c>
      <c r="Z106" s="199">
        <f t="shared" si="118"/>
        <v>2667.5399999999995</v>
      </c>
      <c r="AA106" s="199"/>
      <c r="AB106" s="199">
        <f>(R106+Z106)*T106+AA106</f>
        <v>2889.8349999999996</v>
      </c>
      <c r="AC106" s="738">
        <f t="shared" si="119"/>
        <v>2110.1650000000004</v>
      </c>
      <c r="AD106" s="738">
        <f t="shared" si="120"/>
        <v>5000</v>
      </c>
      <c r="AE106" s="202">
        <f>20000*T106</f>
        <v>5000</v>
      </c>
      <c r="AF106" s="202">
        <f t="shared" si="121"/>
        <v>2110.1650000000004</v>
      </c>
      <c r="AG106" s="738">
        <f>7100*T106</f>
        <v>1775</v>
      </c>
      <c r="AH106" s="202">
        <f t="shared" si="135"/>
        <v>1114.8349999999996</v>
      </c>
      <c r="AI106" s="203">
        <f>G106*T106</f>
        <v>1933</v>
      </c>
      <c r="AJ106" s="203">
        <f>G106*T106</f>
        <v>1933</v>
      </c>
      <c r="AK106" s="203">
        <f>R106*S106</f>
        <v>0</v>
      </c>
      <c r="AL106" s="203">
        <f t="shared" si="137"/>
        <v>2222.9499999999998</v>
      </c>
      <c r="AM106" s="203">
        <f t="shared" si="138"/>
        <v>-1933</v>
      </c>
      <c r="AN106" s="203">
        <f t="shared" si="138"/>
        <v>289.94999999999982</v>
      </c>
      <c r="AO106" s="205">
        <f>Z106*S106</f>
        <v>0</v>
      </c>
      <c r="AP106" s="205">
        <f>Z106*T106</f>
        <v>666.88499999999988</v>
      </c>
      <c r="AQ106" s="205">
        <f>AA106</f>
        <v>0</v>
      </c>
      <c r="AR106" s="205">
        <f>W106*S106</f>
        <v>0</v>
      </c>
      <c r="AS106" s="205">
        <f>W106*T106</f>
        <v>0</v>
      </c>
      <c r="AT106" s="209">
        <f t="shared" si="115"/>
        <v>0</v>
      </c>
      <c r="AU106" s="209">
        <f t="shared" si="115"/>
        <v>2222.9499999999998</v>
      </c>
      <c r="AV106" s="203"/>
      <c r="AW106" s="251">
        <f>R106*T106</f>
        <v>2222.9499999999998</v>
      </c>
      <c r="AX106" s="251"/>
      <c r="AY106" s="838">
        <f t="shared" si="133"/>
        <v>2222.9499999999998</v>
      </c>
      <c r="AZ106" s="838"/>
      <c r="BA106" s="839"/>
    </row>
    <row r="107" spans="2:53" s="76" customFormat="1">
      <c r="B107" s="703">
        <f t="shared" si="114"/>
        <v>77</v>
      </c>
      <c r="C107" s="197" t="s">
        <v>1009</v>
      </c>
      <c r="D107" s="198"/>
      <c r="E107" s="703" t="s">
        <v>1741</v>
      </c>
      <c r="F107" s="703">
        <v>11</v>
      </c>
      <c r="G107" s="199">
        <v>6294</v>
      </c>
      <c r="H107" s="718"/>
      <c r="I107" s="703"/>
      <c r="J107" s="737">
        <v>0.15</v>
      </c>
      <c r="K107" s="204">
        <f>(G107+I107)*J107</f>
        <v>944.09999999999991</v>
      </c>
      <c r="L107" s="703"/>
      <c r="M107" s="718"/>
      <c r="N107" s="199"/>
      <c r="O107" s="718"/>
      <c r="P107" s="703"/>
      <c r="Q107" s="703"/>
      <c r="R107" s="199">
        <f t="shared" si="117"/>
        <v>7238.1</v>
      </c>
      <c r="S107" s="199">
        <v>0.75</v>
      </c>
      <c r="T107" s="199"/>
      <c r="U107" s="703"/>
      <c r="V107" s="718"/>
      <c r="W107" s="703"/>
      <c r="X107" s="718"/>
      <c r="Y107" s="737"/>
      <c r="Z107" s="199">
        <f t="shared" si="118"/>
        <v>0</v>
      </c>
      <c r="AA107" s="199"/>
      <c r="AB107" s="199">
        <f>(R107+Z107)*S107+AA107</f>
        <v>5428.5750000000007</v>
      </c>
      <c r="AC107" s="738">
        <f t="shared" si="119"/>
        <v>9571.4249999999993</v>
      </c>
      <c r="AD107" s="738">
        <f t="shared" si="120"/>
        <v>15000</v>
      </c>
      <c r="AE107" s="202">
        <f>20000*S107</f>
        <v>15000</v>
      </c>
      <c r="AF107" s="202">
        <f t="shared" si="121"/>
        <v>9571.4249999999993</v>
      </c>
      <c r="AG107" s="738">
        <f>7100*S107</f>
        <v>5325</v>
      </c>
      <c r="AH107" s="202">
        <f t="shared" si="135"/>
        <v>103.57500000000073</v>
      </c>
      <c r="AI107" s="203">
        <f>G107*S107</f>
        <v>4720.5</v>
      </c>
      <c r="AJ107" s="203"/>
      <c r="AK107" s="203"/>
      <c r="AL107" s="203">
        <f t="shared" si="137"/>
        <v>0</v>
      </c>
      <c r="AM107" s="203"/>
      <c r="AN107" s="203"/>
      <c r="AO107" s="205"/>
      <c r="AP107" s="205"/>
      <c r="AQ107" s="205"/>
      <c r="AR107" s="205"/>
      <c r="AS107" s="205"/>
      <c r="AT107" s="209"/>
      <c r="AU107" s="209"/>
      <c r="AV107" s="203"/>
      <c r="AW107" s="251">
        <f>R107*S107</f>
        <v>5428.5750000000007</v>
      </c>
      <c r="AX107" s="251"/>
      <c r="AY107" s="838">
        <f t="shared" si="133"/>
        <v>5428.5750000000007</v>
      </c>
      <c r="AZ107" s="838"/>
      <c r="BA107" s="839"/>
    </row>
    <row r="108" spans="2:53" s="76" customFormat="1" ht="58.5">
      <c r="B108" s="703">
        <f t="shared" si="114"/>
        <v>78</v>
      </c>
      <c r="C108" s="197" t="s">
        <v>1010</v>
      </c>
      <c r="D108" s="198" t="s">
        <v>159</v>
      </c>
      <c r="E108" s="703" t="s">
        <v>1764</v>
      </c>
      <c r="F108" s="703">
        <v>12</v>
      </c>
      <c r="G108" s="199">
        <v>6773</v>
      </c>
      <c r="H108" s="736"/>
      <c r="I108" s="199"/>
      <c r="J108" s="736"/>
      <c r="K108" s="199"/>
      <c r="L108" s="199"/>
      <c r="M108" s="736"/>
      <c r="N108" s="199"/>
      <c r="O108" s="736"/>
      <c r="P108" s="199"/>
      <c r="Q108" s="199"/>
      <c r="R108" s="199">
        <f t="shared" si="117"/>
        <v>6773</v>
      </c>
      <c r="S108" s="199">
        <v>1</v>
      </c>
      <c r="T108" s="199"/>
      <c r="U108" s="199"/>
      <c r="V108" s="736"/>
      <c r="W108" s="199"/>
      <c r="X108" s="741">
        <v>9</v>
      </c>
      <c r="Y108" s="737">
        <v>0.1</v>
      </c>
      <c r="Z108" s="199">
        <f t="shared" si="118"/>
        <v>677.30000000000007</v>
      </c>
      <c r="AA108" s="199"/>
      <c r="AB108" s="199">
        <f>(R108+Z108)*S108</f>
        <v>7450.3</v>
      </c>
      <c r="AC108" s="738">
        <f t="shared" si="119"/>
        <v>12549.7</v>
      </c>
      <c r="AD108" s="738">
        <f t="shared" si="120"/>
        <v>20000</v>
      </c>
      <c r="AE108" s="202">
        <f>20000*S108</f>
        <v>20000</v>
      </c>
      <c r="AF108" s="202">
        <f t="shared" si="121"/>
        <v>12549.7</v>
      </c>
      <c r="AG108" s="738">
        <f>7100*S108</f>
        <v>7100</v>
      </c>
      <c r="AH108" s="202">
        <f t="shared" si="135"/>
        <v>350.30000000000018</v>
      </c>
      <c r="AI108" s="203">
        <f>G108*S108</f>
        <v>6773</v>
      </c>
      <c r="AJ108" s="203">
        <f>G108*T108</f>
        <v>0</v>
      </c>
      <c r="AK108" s="203">
        <f t="shared" si="125"/>
        <v>6773</v>
      </c>
      <c r="AL108" s="203">
        <f t="shared" si="137"/>
        <v>0</v>
      </c>
      <c r="AM108" s="203">
        <f t="shared" si="126"/>
        <v>0</v>
      </c>
      <c r="AN108" s="203">
        <f t="shared" si="126"/>
        <v>0</v>
      </c>
      <c r="AO108" s="205">
        <f t="shared" si="127"/>
        <v>677.30000000000007</v>
      </c>
      <c r="AP108" s="205">
        <f t="shared" si="128"/>
        <v>0</v>
      </c>
      <c r="AQ108" s="205">
        <f t="shared" si="129"/>
        <v>0</v>
      </c>
      <c r="AR108" s="205">
        <f t="shared" si="130"/>
        <v>0</v>
      </c>
      <c r="AS108" s="205">
        <f t="shared" si="131"/>
        <v>0</v>
      </c>
      <c r="AT108" s="209">
        <f t="shared" si="115"/>
        <v>6773</v>
      </c>
      <c r="AU108" s="209">
        <f t="shared" si="115"/>
        <v>0</v>
      </c>
      <c r="AV108" s="203"/>
      <c r="AW108" s="251">
        <f>R108*S108</f>
        <v>6773</v>
      </c>
      <c r="AX108" s="251"/>
      <c r="AY108" s="838">
        <f t="shared" si="133"/>
        <v>6773</v>
      </c>
      <c r="AZ108" s="838"/>
      <c r="BA108" s="839"/>
    </row>
    <row r="109" spans="2:53" s="76" customFormat="1">
      <c r="B109" s="703">
        <f t="shared" si="114"/>
        <v>79</v>
      </c>
      <c r="C109" s="197" t="s">
        <v>1010</v>
      </c>
      <c r="D109" s="198" t="s">
        <v>160</v>
      </c>
      <c r="E109" s="703" t="s">
        <v>161</v>
      </c>
      <c r="F109" s="703">
        <v>11</v>
      </c>
      <c r="G109" s="199">
        <v>6294</v>
      </c>
      <c r="H109" s="736"/>
      <c r="I109" s="199"/>
      <c r="J109" s="736"/>
      <c r="K109" s="199"/>
      <c r="L109" s="199"/>
      <c r="M109" s="736"/>
      <c r="N109" s="199"/>
      <c r="O109" s="736"/>
      <c r="P109" s="199"/>
      <c r="Q109" s="199"/>
      <c r="R109" s="199">
        <f t="shared" si="117"/>
        <v>6294</v>
      </c>
      <c r="S109" s="199">
        <v>1</v>
      </c>
      <c r="T109" s="199"/>
      <c r="U109" s="199"/>
      <c r="V109" s="736"/>
      <c r="W109" s="199"/>
      <c r="X109" s="741">
        <v>2</v>
      </c>
      <c r="Y109" s="737">
        <v>0</v>
      </c>
      <c r="Z109" s="199">
        <f t="shared" si="118"/>
        <v>0</v>
      </c>
      <c r="AA109" s="199">
        <v>806</v>
      </c>
      <c r="AB109" s="199">
        <f>(R109+Z109)*S109+AA109</f>
        <v>7100</v>
      </c>
      <c r="AC109" s="738">
        <f t="shared" si="119"/>
        <v>12900</v>
      </c>
      <c r="AD109" s="738">
        <f t="shared" si="120"/>
        <v>20000</v>
      </c>
      <c r="AE109" s="202">
        <f>20000*S109</f>
        <v>20000</v>
      </c>
      <c r="AF109" s="202">
        <f t="shared" si="121"/>
        <v>12900</v>
      </c>
      <c r="AG109" s="738">
        <f>7100*S109</f>
        <v>7100</v>
      </c>
      <c r="AH109" s="202">
        <f t="shared" si="135"/>
        <v>0</v>
      </c>
      <c r="AI109" s="203"/>
      <c r="AJ109" s="203">
        <f>G109*T109</f>
        <v>0</v>
      </c>
      <c r="AK109" s="203"/>
      <c r="AL109" s="203">
        <f t="shared" si="137"/>
        <v>0</v>
      </c>
      <c r="AM109" s="203"/>
      <c r="AN109" s="203">
        <f t="shared" si="126"/>
        <v>0</v>
      </c>
      <c r="AO109" s="205"/>
      <c r="AP109" s="205"/>
      <c r="AQ109" s="205"/>
      <c r="AR109" s="205"/>
      <c r="AS109" s="205"/>
      <c r="AT109" s="209"/>
      <c r="AU109" s="209">
        <f t="shared" si="115"/>
        <v>0</v>
      </c>
      <c r="AV109" s="203"/>
      <c r="AW109" s="251">
        <f>R109*S109</f>
        <v>6294</v>
      </c>
      <c r="AX109" s="251"/>
      <c r="AY109" s="838">
        <f t="shared" si="133"/>
        <v>6294</v>
      </c>
      <c r="AZ109" s="838"/>
      <c r="BA109" s="839"/>
    </row>
    <row r="110" spans="2:53" s="76" customFormat="1">
      <c r="B110" s="703">
        <f t="shared" si="114"/>
        <v>80</v>
      </c>
      <c r="C110" s="197" t="s">
        <v>1015</v>
      </c>
      <c r="D110" s="198" t="s">
        <v>162</v>
      </c>
      <c r="E110" s="198" t="s">
        <v>1735</v>
      </c>
      <c r="F110" s="703">
        <v>13</v>
      </c>
      <c r="G110" s="199">
        <v>7253</v>
      </c>
      <c r="H110" s="736"/>
      <c r="I110" s="199"/>
      <c r="J110" s="736"/>
      <c r="K110" s="199"/>
      <c r="L110" s="199"/>
      <c r="M110" s="736"/>
      <c r="N110" s="199"/>
      <c r="O110" s="736"/>
      <c r="P110" s="199"/>
      <c r="Q110" s="199"/>
      <c r="R110" s="199">
        <f t="shared" si="117"/>
        <v>7253</v>
      </c>
      <c r="S110" s="199"/>
      <c r="T110" s="199">
        <v>0.25</v>
      </c>
      <c r="U110" s="199"/>
      <c r="V110" s="736"/>
      <c r="W110" s="199"/>
      <c r="X110" s="741">
        <v>20</v>
      </c>
      <c r="Y110" s="737">
        <v>0.3</v>
      </c>
      <c r="Z110" s="199">
        <f t="shared" si="118"/>
        <v>2175.9</v>
      </c>
      <c r="AA110" s="199"/>
      <c r="AB110" s="199">
        <f>(R110+Z110)*T110+AA110</f>
        <v>2357.2249999999999</v>
      </c>
      <c r="AC110" s="738">
        <f t="shared" si="119"/>
        <v>2642.7750000000001</v>
      </c>
      <c r="AD110" s="738">
        <f t="shared" si="120"/>
        <v>5000</v>
      </c>
      <c r="AE110" s="202">
        <f>20000*T110</f>
        <v>5000</v>
      </c>
      <c r="AF110" s="202">
        <f t="shared" si="121"/>
        <v>2642.7750000000001</v>
      </c>
      <c r="AG110" s="738">
        <f>7100*T110</f>
        <v>1775</v>
      </c>
      <c r="AH110" s="202">
        <f>AG110-(R110*T110)</f>
        <v>-38.25</v>
      </c>
      <c r="AI110" s="203">
        <f>G110*T110</f>
        <v>1813.25</v>
      </c>
      <c r="AJ110" s="203">
        <f t="shared" si="124"/>
        <v>1813.25</v>
      </c>
      <c r="AK110" s="203">
        <f>R110*S110</f>
        <v>0</v>
      </c>
      <c r="AL110" s="203">
        <f t="shared" si="137"/>
        <v>1813.25</v>
      </c>
      <c r="AM110" s="203">
        <f>AK110-AI110</f>
        <v>-1813.25</v>
      </c>
      <c r="AN110" s="203">
        <f>AL110-AJ110</f>
        <v>0</v>
      </c>
      <c r="AO110" s="205">
        <f>Z110*S110</f>
        <v>0</v>
      </c>
      <c r="AP110" s="205">
        <f>Z110*T110</f>
        <v>543.97500000000002</v>
      </c>
      <c r="AQ110" s="205">
        <f>AA110</f>
        <v>0</v>
      </c>
      <c r="AR110" s="205">
        <f>W110*S110</f>
        <v>0</v>
      </c>
      <c r="AS110" s="205">
        <f>W110*T110</f>
        <v>0</v>
      </c>
      <c r="AT110" s="209">
        <f t="shared" si="115"/>
        <v>0</v>
      </c>
      <c r="AU110" s="209">
        <f t="shared" si="115"/>
        <v>1813.25</v>
      </c>
      <c r="AV110" s="203"/>
      <c r="AW110" s="251">
        <f>R110*T110</f>
        <v>1813.25</v>
      </c>
      <c r="AX110" s="251"/>
      <c r="AY110" s="838">
        <f t="shared" si="133"/>
        <v>1813.25</v>
      </c>
      <c r="AZ110" s="838"/>
      <c r="BA110" s="839"/>
    </row>
    <row r="111" spans="2:53" s="76" customFormat="1" ht="58.5">
      <c r="B111" s="703">
        <f t="shared" si="114"/>
        <v>81</v>
      </c>
      <c r="C111" s="197" t="s">
        <v>1016</v>
      </c>
      <c r="D111" s="198" t="s">
        <v>1776</v>
      </c>
      <c r="E111" s="703" t="s">
        <v>1777</v>
      </c>
      <c r="F111" s="703">
        <v>13</v>
      </c>
      <c r="G111" s="199">
        <v>7253</v>
      </c>
      <c r="H111" s="736"/>
      <c r="I111" s="199"/>
      <c r="J111" s="737">
        <v>0.15</v>
      </c>
      <c r="K111" s="204">
        <f>(G111+I111)*J111</f>
        <v>1087.95</v>
      </c>
      <c r="L111" s="199"/>
      <c r="M111" s="736"/>
      <c r="N111" s="199"/>
      <c r="O111" s="736"/>
      <c r="P111" s="206"/>
      <c r="Q111" s="206"/>
      <c r="R111" s="199">
        <f>G111+I111+K111+L111+N111+P111+Q111</f>
        <v>8340.9500000000007</v>
      </c>
      <c r="S111" s="199">
        <v>1</v>
      </c>
      <c r="T111" s="199"/>
      <c r="U111" s="206"/>
      <c r="V111" s="741"/>
      <c r="W111" s="206"/>
      <c r="X111" s="741">
        <v>23</v>
      </c>
      <c r="Y111" s="737">
        <v>0.3</v>
      </c>
      <c r="Z111" s="199">
        <f t="shared" si="118"/>
        <v>2502.2850000000003</v>
      </c>
      <c r="AA111" s="199"/>
      <c r="AB111" s="199">
        <f>(R111+Z111)*S111+AA111</f>
        <v>10843.235000000001</v>
      </c>
      <c r="AC111" s="738">
        <f t="shared" si="119"/>
        <v>9156.7649999999994</v>
      </c>
      <c r="AD111" s="738">
        <f t="shared" si="120"/>
        <v>20000</v>
      </c>
      <c r="AE111" s="202">
        <f>20000*S111</f>
        <v>20000</v>
      </c>
      <c r="AF111" s="202">
        <f t="shared" si="121"/>
        <v>9156.7649999999994</v>
      </c>
      <c r="AG111" s="738">
        <f>7100*S111</f>
        <v>7100</v>
      </c>
      <c r="AH111" s="202">
        <f>AG111-(R111*S111)</f>
        <v>-1240.9500000000007</v>
      </c>
      <c r="AI111" s="203">
        <f>G111*S111</f>
        <v>7253</v>
      </c>
      <c r="AJ111" s="203">
        <f t="shared" si="124"/>
        <v>0</v>
      </c>
      <c r="AK111" s="203">
        <f>R111*S111</f>
        <v>8340.9500000000007</v>
      </c>
      <c r="AL111" s="203">
        <f t="shared" si="137"/>
        <v>0</v>
      </c>
      <c r="AM111" s="203">
        <f t="shared" si="126"/>
        <v>1087.9500000000007</v>
      </c>
      <c r="AN111" s="203">
        <f t="shared" si="126"/>
        <v>0</v>
      </c>
      <c r="AO111" s="205">
        <f t="shared" si="127"/>
        <v>2502.2850000000003</v>
      </c>
      <c r="AP111" s="205">
        <f t="shared" si="128"/>
        <v>0</v>
      </c>
      <c r="AQ111" s="205">
        <f t="shared" si="129"/>
        <v>0</v>
      </c>
      <c r="AR111" s="205">
        <f t="shared" si="130"/>
        <v>0</v>
      </c>
      <c r="AS111" s="205">
        <f t="shared" si="131"/>
        <v>0</v>
      </c>
      <c r="AT111" s="209">
        <f t="shared" si="115"/>
        <v>8340.9500000000007</v>
      </c>
      <c r="AU111" s="209">
        <f t="shared" si="115"/>
        <v>0</v>
      </c>
      <c r="AV111" s="203"/>
      <c r="AW111" s="251">
        <f>R111*S111</f>
        <v>8340.9500000000007</v>
      </c>
      <c r="AX111" s="251"/>
      <c r="AY111" s="838">
        <f t="shared" si="133"/>
        <v>8340.9500000000007</v>
      </c>
      <c r="AZ111" s="838"/>
      <c r="BA111" s="839"/>
    </row>
    <row r="112" spans="2:53" s="76" customFormat="1" ht="58.5">
      <c r="B112" s="703">
        <f t="shared" si="114"/>
        <v>82</v>
      </c>
      <c r="C112" s="197" t="s">
        <v>1843</v>
      </c>
      <c r="D112" s="198" t="s">
        <v>1357</v>
      </c>
      <c r="E112" s="703" t="s">
        <v>1024</v>
      </c>
      <c r="F112" s="703">
        <v>13</v>
      </c>
      <c r="G112" s="199">
        <v>7253</v>
      </c>
      <c r="H112" s="736"/>
      <c r="I112" s="199"/>
      <c r="J112" s="737"/>
      <c r="K112" s="204"/>
      <c r="L112" s="199"/>
      <c r="M112" s="736"/>
      <c r="N112" s="199"/>
      <c r="O112" s="736"/>
      <c r="P112" s="206"/>
      <c r="Q112" s="206"/>
      <c r="R112" s="199">
        <f>G112+I112+K112+L112+N112+P112+Q112</f>
        <v>7253</v>
      </c>
      <c r="S112" s="199"/>
      <c r="T112" s="199">
        <v>0.25</v>
      </c>
      <c r="U112" s="206"/>
      <c r="V112" s="741"/>
      <c r="W112" s="206"/>
      <c r="X112" s="741">
        <v>27</v>
      </c>
      <c r="Y112" s="737">
        <v>0.3</v>
      </c>
      <c r="Z112" s="199">
        <f t="shared" si="118"/>
        <v>2175.9</v>
      </c>
      <c r="AA112" s="199"/>
      <c r="AB112" s="199">
        <f>(R112+Z112)*T112+AA112</f>
        <v>2357.2249999999999</v>
      </c>
      <c r="AC112" s="738">
        <f t="shared" si="119"/>
        <v>2642.7750000000001</v>
      </c>
      <c r="AD112" s="738">
        <f t="shared" si="120"/>
        <v>5000</v>
      </c>
      <c r="AE112" s="202">
        <f>20000*T112</f>
        <v>5000</v>
      </c>
      <c r="AF112" s="202">
        <f>AE112-AB112</f>
        <v>2642.7750000000001</v>
      </c>
      <c r="AG112" s="738">
        <f>7100*T112</f>
        <v>1775</v>
      </c>
      <c r="AH112" s="202">
        <f>AG112-(R112*T112)</f>
        <v>-38.25</v>
      </c>
      <c r="AI112" s="203">
        <f>G112*T112</f>
        <v>1813.25</v>
      </c>
      <c r="AJ112" s="203">
        <f>G112*T112</f>
        <v>1813.25</v>
      </c>
      <c r="AK112" s="203">
        <f>R112*S112</f>
        <v>0</v>
      </c>
      <c r="AL112" s="203">
        <f t="shared" si="137"/>
        <v>1813.25</v>
      </c>
      <c r="AM112" s="203">
        <f>AK112-AI112</f>
        <v>-1813.25</v>
      </c>
      <c r="AN112" s="203"/>
      <c r="AO112" s="205"/>
      <c r="AP112" s="205"/>
      <c r="AQ112" s="205"/>
      <c r="AR112" s="205"/>
      <c r="AS112" s="205"/>
      <c r="AT112" s="209"/>
      <c r="AU112" s="209"/>
      <c r="AV112" s="203"/>
      <c r="AW112" s="251">
        <f>R112*T112</f>
        <v>1813.25</v>
      </c>
      <c r="AX112" s="251"/>
      <c r="AY112" s="838">
        <f t="shared" si="133"/>
        <v>1813.25</v>
      </c>
      <c r="AZ112" s="838"/>
      <c r="BA112" s="839"/>
    </row>
    <row r="113" spans="2:53" s="76" customFormat="1">
      <c r="B113" s="703"/>
      <c r="C113" s="180" t="s">
        <v>1736</v>
      </c>
      <c r="D113" s="207"/>
      <c r="E113" s="194"/>
      <c r="F113" s="193"/>
      <c r="G113" s="184">
        <f>SUM(G90:G112)</f>
        <v>149496</v>
      </c>
      <c r="H113" s="747"/>
      <c r="I113" s="184"/>
      <c r="J113" s="747"/>
      <c r="K113" s="184"/>
      <c r="L113" s="184"/>
      <c r="M113" s="747"/>
      <c r="N113" s="184"/>
      <c r="O113" s="747"/>
      <c r="P113" s="184"/>
      <c r="Q113" s="184"/>
      <c r="R113" s="184">
        <f>SUM(R90:R112)</f>
        <v>163429.65000000002</v>
      </c>
      <c r="S113" s="184">
        <f>SUM(S90:S112)</f>
        <v>13.5</v>
      </c>
      <c r="T113" s="184">
        <f>SUM(T90:T112)</f>
        <v>2.5</v>
      </c>
      <c r="U113" s="184"/>
      <c r="V113" s="748"/>
      <c r="W113" s="184"/>
      <c r="X113" s="748"/>
      <c r="Y113" s="748"/>
      <c r="Z113" s="184">
        <f t="shared" ref="Z113:AH113" si="139">SUM(Z90:Z112)</f>
        <v>35745.045000000013</v>
      </c>
      <c r="AA113" s="184">
        <f t="shared" si="139"/>
        <v>3376</v>
      </c>
      <c r="AB113" s="184">
        <f t="shared" si="139"/>
        <v>146109.88125000001</v>
      </c>
      <c r="AC113" s="184">
        <f t="shared" si="139"/>
        <v>173890.11874999999</v>
      </c>
      <c r="AD113" s="184">
        <f>SUM(AD90:AD112)</f>
        <v>320000</v>
      </c>
      <c r="AE113" s="184">
        <f t="shared" si="139"/>
        <v>320000</v>
      </c>
      <c r="AF113" s="184">
        <f t="shared" si="139"/>
        <v>173890.11874999999</v>
      </c>
      <c r="AG113" s="184">
        <f t="shared" si="139"/>
        <v>113600</v>
      </c>
      <c r="AH113" s="184">
        <f t="shared" si="139"/>
        <v>27339.708749999994</v>
      </c>
      <c r="AI113" s="184">
        <f t="shared" ref="AI113:AV113" si="140">SUM(AI90:AI111)</f>
        <v>94094.25</v>
      </c>
      <c r="AJ113" s="184">
        <f t="shared" si="140"/>
        <v>15240</v>
      </c>
      <c r="AK113" s="184">
        <f t="shared" si="140"/>
        <v>95352.512499999997</v>
      </c>
      <c r="AL113" s="184">
        <f t="shared" si="140"/>
        <v>16891.412500000002</v>
      </c>
      <c r="AM113" s="184">
        <f t="shared" si="140"/>
        <v>4306.9500000000025</v>
      </c>
      <c r="AN113" s="184">
        <f t="shared" si="140"/>
        <v>1433.35</v>
      </c>
      <c r="AO113" s="184">
        <f t="shared" si="140"/>
        <v>20228.912499999999</v>
      </c>
      <c r="AP113" s="184">
        <f t="shared" si="140"/>
        <v>4176.4324999999999</v>
      </c>
      <c r="AQ113" s="184">
        <f t="shared" si="140"/>
        <v>2570</v>
      </c>
      <c r="AR113" s="184">
        <f t="shared" si="140"/>
        <v>0</v>
      </c>
      <c r="AS113" s="184">
        <f t="shared" si="140"/>
        <v>0</v>
      </c>
      <c r="AT113" s="184">
        <f t="shared" si="140"/>
        <v>93680.7</v>
      </c>
      <c r="AU113" s="184">
        <f t="shared" si="140"/>
        <v>15219.599999999999</v>
      </c>
      <c r="AV113" s="184">
        <f t="shared" si="140"/>
        <v>0</v>
      </c>
      <c r="AW113" s="184">
        <f>SUM(AW90:AW112)</f>
        <v>118396.27499999999</v>
      </c>
      <c r="AX113" s="251"/>
      <c r="AY113" s="838"/>
      <c r="AZ113" s="838"/>
      <c r="BA113" s="839"/>
    </row>
    <row r="114" spans="2:53" s="76" customFormat="1">
      <c r="B114" s="703"/>
      <c r="C114" s="220" t="s">
        <v>1581</v>
      </c>
      <c r="D114" s="217"/>
      <c r="E114" s="218"/>
      <c r="F114" s="218"/>
      <c r="G114" s="218"/>
      <c r="H114" s="745"/>
      <c r="I114" s="218"/>
      <c r="J114" s="745"/>
      <c r="K114" s="218"/>
      <c r="L114" s="218"/>
      <c r="M114" s="745"/>
      <c r="N114" s="218"/>
      <c r="O114" s="745"/>
      <c r="P114" s="218"/>
      <c r="Q114" s="218"/>
      <c r="R114" s="218"/>
      <c r="S114" s="218"/>
      <c r="T114" s="218"/>
      <c r="U114" s="218"/>
      <c r="V114" s="746"/>
      <c r="W114" s="218"/>
      <c r="X114" s="746"/>
      <c r="Y114" s="746"/>
      <c r="Z114" s="218"/>
      <c r="AA114" s="218"/>
      <c r="AB114" s="218"/>
      <c r="AC114" s="219"/>
      <c r="AD114" s="219"/>
      <c r="AE114" s="219"/>
      <c r="AF114" s="219"/>
      <c r="AG114" s="219"/>
      <c r="AH114" s="219"/>
      <c r="AI114" s="203"/>
      <c r="AJ114" s="203"/>
      <c r="AK114" s="203"/>
      <c r="AL114" s="203"/>
      <c r="AM114" s="203"/>
      <c r="AN114" s="203"/>
      <c r="AO114" s="205"/>
      <c r="AP114" s="205"/>
      <c r="AQ114" s="205"/>
      <c r="AR114" s="205"/>
      <c r="AS114" s="205"/>
      <c r="AT114" s="209"/>
      <c r="AU114" s="209"/>
      <c r="AV114" s="203"/>
      <c r="AW114" s="251"/>
      <c r="AX114" s="251"/>
      <c r="AY114" s="838"/>
      <c r="AZ114" s="838"/>
      <c r="BA114" s="839"/>
    </row>
    <row r="115" spans="2:53" s="78" customFormat="1">
      <c r="B115" s="191">
        <f>B112+1</f>
        <v>83</v>
      </c>
      <c r="C115" s="214" t="s">
        <v>1068</v>
      </c>
      <c r="D115" s="192" t="s">
        <v>1751</v>
      </c>
      <c r="E115" s="216" t="s">
        <v>163</v>
      </c>
      <c r="F115" s="216">
        <v>7</v>
      </c>
      <c r="G115" s="210">
        <v>4920</v>
      </c>
      <c r="H115" s="743"/>
      <c r="I115" s="210"/>
      <c r="J115" s="743"/>
      <c r="K115" s="210"/>
      <c r="L115" s="210"/>
      <c r="M115" s="743"/>
      <c r="N115" s="210"/>
      <c r="O115" s="743"/>
      <c r="P115" s="210"/>
      <c r="Q115" s="210"/>
      <c r="R115" s="210">
        <f t="shared" ref="R115:R125" si="141">G115+I115+K115+L115+N115+P115+Q115</f>
        <v>4920</v>
      </c>
      <c r="S115" s="210">
        <v>1</v>
      </c>
      <c r="T115" s="210"/>
      <c r="U115" s="210"/>
      <c r="V115" s="743"/>
      <c r="W115" s="210"/>
      <c r="X115" s="850">
        <v>17</v>
      </c>
      <c r="Y115" s="749">
        <v>0.2</v>
      </c>
      <c r="Z115" s="210">
        <f t="shared" ref="Z115:Z124" si="142">R115*Y115</f>
        <v>984</v>
      </c>
      <c r="AA115" s="210">
        <f>AH115</f>
        <v>1196</v>
      </c>
      <c r="AB115" s="210">
        <f>(R115+Z115)*S115+AA115</f>
        <v>7100</v>
      </c>
      <c r="AC115" s="738">
        <f t="shared" ref="AC115:AC125" si="143">AF115</f>
        <v>6400</v>
      </c>
      <c r="AD115" s="738">
        <f t="shared" ref="AD115:AD125" si="144">AB115+AC115</f>
        <v>13500</v>
      </c>
      <c r="AE115" s="738">
        <f t="shared" ref="AE115:AE125" si="145">13500*S115</f>
        <v>13500</v>
      </c>
      <c r="AF115" s="738">
        <f t="shared" ref="AF115:AF125" si="146">AE115-AB115</f>
        <v>6400</v>
      </c>
      <c r="AG115" s="738">
        <f t="shared" ref="AG115:AG125" si="147">7100*S115</f>
        <v>7100</v>
      </c>
      <c r="AH115" s="738">
        <f>AG115-(R115*S115)-Z115</f>
        <v>1196</v>
      </c>
      <c r="AI115" s="196">
        <f t="shared" ref="AI115:AI125" si="148">G115*S115</f>
        <v>4920</v>
      </c>
      <c r="AJ115" s="196">
        <f t="shared" ref="AJ115:AJ125" si="149">G115*T115</f>
        <v>0</v>
      </c>
      <c r="AK115" s="196">
        <f t="shared" ref="AK115:AK125" si="150">R115*S115</f>
        <v>4920</v>
      </c>
      <c r="AL115" s="196">
        <f t="shared" ref="AL115:AL125" si="151">R115*T115</f>
        <v>0</v>
      </c>
      <c r="AM115" s="196">
        <f t="shared" ref="AM115:AN125" si="152">AK115-AI115</f>
        <v>0</v>
      </c>
      <c r="AN115" s="196">
        <f t="shared" si="152"/>
        <v>0</v>
      </c>
      <c r="AO115" s="750">
        <f t="shared" ref="AO115:AO125" si="153">Z115*S115</f>
        <v>984</v>
      </c>
      <c r="AP115" s="750">
        <f t="shared" ref="AP115:AP125" si="154">Z115*T115</f>
        <v>0</v>
      </c>
      <c r="AQ115" s="750">
        <f t="shared" ref="AQ115:AQ125" si="155">AA115</f>
        <v>1196</v>
      </c>
      <c r="AR115" s="750">
        <f t="shared" ref="AR115:AR125" si="156">W115*S115</f>
        <v>0</v>
      </c>
      <c r="AS115" s="750">
        <f t="shared" ref="AS115:AS125" si="157">W115*T115</f>
        <v>0</v>
      </c>
      <c r="AT115" s="751">
        <f t="shared" si="115"/>
        <v>4920</v>
      </c>
      <c r="AU115" s="751">
        <f t="shared" si="115"/>
        <v>0</v>
      </c>
      <c r="AV115" s="196"/>
      <c r="AW115" s="221">
        <f>AT115+AU115-AV115</f>
        <v>4920</v>
      </c>
      <c r="AX115" s="251"/>
      <c r="AY115" s="838">
        <f t="shared" si="133"/>
        <v>4920</v>
      </c>
      <c r="AZ115" s="838"/>
      <c r="BA115" s="839"/>
    </row>
    <row r="116" spans="2:53" s="78" customFormat="1">
      <c r="B116" s="191">
        <f t="shared" si="114"/>
        <v>84</v>
      </c>
      <c r="C116" s="214" t="s">
        <v>1068</v>
      </c>
      <c r="D116" s="192" t="s">
        <v>1751</v>
      </c>
      <c r="E116" s="216" t="s">
        <v>164</v>
      </c>
      <c r="F116" s="216">
        <v>7</v>
      </c>
      <c r="G116" s="210">
        <v>4920</v>
      </c>
      <c r="H116" s="743"/>
      <c r="I116" s="210"/>
      <c r="J116" s="743"/>
      <c r="K116" s="210"/>
      <c r="L116" s="210"/>
      <c r="M116" s="743"/>
      <c r="N116" s="210"/>
      <c r="O116" s="743"/>
      <c r="P116" s="210"/>
      <c r="Q116" s="210"/>
      <c r="R116" s="210">
        <f t="shared" si="141"/>
        <v>4920</v>
      </c>
      <c r="S116" s="210">
        <v>1</v>
      </c>
      <c r="T116" s="210"/>
      <c r="U116" s="210"/>
      <c r="V116" s="743"/>
      <c r="W116" s="210"/>
      <c r="X116" s="850">
        <v>18</v>
      </c>
      <c r="Y116" s="749">
        <v>0.2</v>
      </c>
      <c r="Z116" s="210">
        <f t="shared" si="142"/>
        <v>984</v>
      </c>
      <c r="AA116" s="210">
        <f>AH116</f>
        <v>1196</v>
      </c>
      <c r="AB116" s="210">
        <f>(R116+Z116)*S116+AA116</f>
        <v>7100</v>
      </c>
      <c r="AC116" s="738">
        <f t="shared" si="143"/>
        <v>6400</v>
      </c>
      <c r="AD116" s="738">
        <f t="shared" si="144"/>
        <v>13500</v>
      </c>
      <c r="AE116" s="738">
        <f t="shared" si="145"/>
        <v>13500</v>
      </c>
      <c r="AF116" s="738">
        <f t="shared" si="146"/>
        <v>6400</v>
      </c>
      <c r="AG116" s="738">
        <f t="shared" si="147"/>
        <v>7100</v>
      </c>
      <c r="AH116" s="738">
        <f>AG116-(R116*S116)-Z116</f>
        <v>1196</v>
      </c>
      <c r="AI116" s="196">
        <f t="shared" si="148"/>
        <v>4920</v>
      </c>
      <c r="AJ116" s="196">
        <f t="shared" si="149"/>
        <v>0</v>
      </c>
      <c r="AK116" s="196">
        <f t="shared" si="150"/>
        <v>4920</v>
      </c>
      <c r="AL116" s="196">
        <f t="shared" si="151"/>
        <v>0</v>
      </c>
      <c r="AM116" s="196">
        <f t="shared" si="152"/>
        <v>0</v>
      </c>
      <c r="AN116" s="196">
        <f t="shared" si="152"/>
        <v>0</v>
      </c>
      <c r="AO116" s="750">
        <f t="shared" si="153"/>
        <v>984</v>
      </c>
      <c r="AP116" s="750">
        <f t="shared" si="154"/>
        <v>0</v>
      </c>
      <c r="AQ116" s="750">
        <f t="shared" si="155"/>
        <v>1196</v>
      </c>
      <c r="AR116" s="750">
        <f t="shared" si="156"/>
        <v>0</v>
      </c>
      <c r="AS116" s="750">
        <f t="shared" si="157"/>
        <v>0</v>
      </c>
      <c r="AT116" s="751">
        <f t="shared" si="115"/>
        <v>4920</v>
      </c>
      <c r="AU116" s="751">
        <f t="shared" si="115"/>
        <v>0</v>
      </c>
      <c r="AV116" s="196"/>
      <c r="AW116" s="221">
        <f>AT116+AU116-AV116</f>
        <v>4920</v>
      </c>
      <c r="AX116" s="251"/>
      <c r="AY116" s="838">
        <f t="shared" si="133"/>
        <v>4920</v>
      </c>
      <c r="AZ116" s="838"/>
      <c r="BA116" s="839"/>
    </row>
    <row r="117" spans="2:53" s="76" customFormat="1" ht="63">
      <c r="B117" s="703">
        <f>1+B116</f>
        <v>85</v>
      </c>
      <c r="C117" s="197" t="s">
        <v>1790</v>
      </c>
      <c r="D117" s="198" t="s">
        <v>1751</v>
      </c>
      <c r="E117" s="703" t="s">
        <v>1791</v>
      </c>
      <c r="F117" s="703">
        <v>6</v>
      </c>
      <c r="G117" s="199">
        <v>4633</v>
      </c>
      <c r="H117" s="736"/>
      <c r="I117" s="199"/>
      <c r="J117" s="736"/>
      <c r="K117" s="199"/>
      <c r="L117" s="199"/>
      <c r="M117" s="736"/>
      <c r="N117" s="199"/>
      <c r="O117" s="736"/>
      <c r="P117" s="199"/>
      <c r="Q117" s="199"/>
      <c r="R117" s="199">
        <f t="shared" si="141"/>
        <v>4633</v>
      </c>
      <c r="S117" s="199">
        <v>1</v>
      </c>
      <c r="T117" s="199"/>
      <c r="U117" s="199"/>
      <c r="V117" s="736"/>
      <c r="W117" s="199"/>
      <c r="X117" s="718">
        <v>7</v>
      </c>
      <c r="Y117" s="737">
        <v>0.1</v>
      </c>
      <c r="Z117" s="199">
        <f t="shared" si="142"/>
        <v>463.3</v>
      </c>
      <c r="AA117" s="199">
        <f>AH117</f>
        <v>2003.7</v>
      </c>
      <c r="AB117" s="199">
        <f>(R117+Z117)*S117+AA117</f>
        <v>7100</v>
      </c>
      <c r="AC117" s="738">
        <f t="shared" si="143"/>
        <v>6400</v>
      </c>
      <c r="AD117" s="738">
        <f t="shared" si="144"/>
        <v>13500</v>
      </c>
      <c r="AE117" s="202">
        <f t="shared" si="145"/>
        <v>13500</v>
      </c>
      <c r="AF117" s="202">
        <f t="shared" si="146"/>
        <v>6400</v>
      </c>
      <c r="AG117" s="738">
        <f t="shared" si="147"/>
        <v>7100</v>
      </c>
      <c r="AH117" s="202">
        <f>AG117-(R117*S117)-Z117</f>
        <v>2003.7</v>
      </c>
      <c r="AI117" s="203">
        <f t="shared" si="148"/>
        <v>4633</v>
      </c>
      <c r="AJ117" s="203">
        <f t="shared" si="149"/>
        <v>0</v>
      </c>
      <c r="AK117" s="203">
        <f t="shared" si="150"/>
        <v>4633</v>
      </c>
      <c r="AL117" s="203">
        <f t="shared" si="151"/>
        <v>0</v>
      </c>
      <c r="AM117" s="203">
        <f t="shared" si="152"/>
        <v>0</v>
      </c>
      <c r="AN117" s="203">
        <f t="shared" si="152"/>
        <v>0</v>
      </c>
      <c r="AO117" s="205">
        <f t="shared" si="153"/>
        <v>463.3</v>
      </c>
      <c r="AP117" s="205">
        <f t="shared" si="154"/>
        <v>0</v>
      </c>
      <c r="AQ117" s="205">
        <f t="shared" si="155"/>
        <v>2003.7</v>
      </c>
      <c r="AR117" s="205">
        <f t="shared" si="156"/>
        <v>0</v>
      </c>
      <c r="AS117" s="205">
        <f t="shared" si="157"/>
        <v>0</v>
      </c>
      <c r="AT117" s="209">
        <f t="shared" si="115"/>
        <v>4633</v>
      </c>
      <c r="AU117" s="209">
        <f t="shared" si="115"/>
        <v>0</v>
      </c>
      <c r="AV117" s="203"/>
      <c r="AW117" s="251">
        <f>R117*S117</f>
        <v>4633</v>
      </c>
      <c r="AX117" s="251"/>
      <c r="AY117" s="838">
        <f t="shared" ref="AY117:AY125" si="158">AW117</f>
        <v>4633</v>
      </c>
      <c r="AZ117" s="838"/>
      <c r="BA117" s="839"/>
    </row>
    <row r="118" spans="2:53" s="76" customFormat="1" ht="63">
      <c r="B118" s="703">
        <f t="shared" si="114"/>
        <v>86</v>
      </c>
      <c r="C118" s="197" t="s">
        <v>1790</v>
      </c>
      <c r="D118" s="198" t="s">
        <v>1069</v>
      </c>
      <c r="E118" s="703" t="s">
        <v>1070</v>
      </c>
      <c r="F118" s="703">
        <v>9</v>
      </c>
      <c r="G118" s="199">
        <v>5527</v>
      </c>
      <c r="H118" s="736"/>
      <c r="I118" s="199"/>
      <c r="J118" s="736"/>
      <c r="K118" s="199"/>
      <c r="L118" s="199"/>
      <c r="M118" s="736"/>
      <c r="N118" s="199"/>
      <c r="O118" s="736"/>
      <c r="P118" s="199"/>
      <c r="Q118" s="199"/>
      <c r="R118" s="199">
        <f t="shared" si="141"/>
        <v>5527</v>
      </c>
      <c r="S118" s="199">
        <v>1</v>
      </c>
      <c r="T118" s="199"/>
      <c r="U118" s="199"/>
      <c r="V118" s="736"/>
      <c r="W118" s="199"/>
      <c r="X118" s="718">
        <v>22</v>
      </c>
      <c r="Y118" s="737">
        <v>0.3</v>
      </c>
      <c r="Z118" s="199">
        <f t="shared" si="142"/>
        <v>1658.1</v>
      </c>
      <c r="AA118" s="199"/>
      <c r="AB118" s="199">
        <f t="shared" ref="AB118:AB123" si="159">(R118+Z118)*S118+AA118</f>
        <v>7185.1</v>
      </c>
      <c r="AC118" s="738">
        <f t="shared" si="143"/>
        <v>6314.9</v>
      </c>
      <c r="AD118" s="738">
        <f t="shared" si="144"/>
        <v>13500</v>
      </c>
      <c r="AE118" s="202">
        <f t="shared" si="145"/>
        <v>13500</v>
      </c>
      <c r="AF118" s="202">
        <f t="shared" si="146"/>
        <v>6314.9</v>
      </c>
      <c r="AG118" s="738">
        <f t="shared" si="147"/>
        <v>7100</v>
      </c>
      <c r="AH118" s="202">
        <f t="shared" ref="AH118:AH123" si="160">AG118-(R118*S118)-Z118</f>
        <v>-85.099999999999909</v>
      </c>
      <c r="AI118" s="203">
        <f t="shared" si="148"/>
        <v>5527</v>
      </c>
      <c r="AJ118" s="203">
        <f t="shared" si="149"/>
        <v>0</v>
      </c>
      <c r="AK118" s="203">
        <f t="shared" si="150"/>
        <v>5527</v>
      </c>
      <c r="AL118" s="203">
        <f t="shared" si="151"/>
        <v>0</v>
      </c>
      <c r="AM118" s="203">
        <f t="shared" si="152"/>
        <v>0</v>
      </c>
      <c r="AN118" s="203">
        <f t="shared" si="152"/>
        <v>0</v>
      </c>
      <c r="AO118" s="205">
        <f t="shared" si="153"/>
        <v>1658.1</v>
      </c>
      <c r="AP118" s="205">
        <f t="shared" si="154"/>
        <v>0</v>
      </c>
      <c r="AQ118" s="205">
        <f t="shared" si="155"/>
        <v>0</v>
      </c>
      <c r="AR118" s="205">
        <f t="shared" si="156"/>
        <v>0</v>
      </c>
      <c r="AS118" s="205">
        <f t="shared" si="157"/>
        <v>0</v>
      </c>
      <c r="AT118" s="209">
        <f t="shared" si="115"/>
        <v>5527</v>
      </c>
      <c r="AU118" s="209">
        <f t="shared" si="115"/>
        <v>0</v>
      </c>
      <c r="AV118" s="203"/>
      <c r="AW118" s="251">
        <f t="shared" ref="AW118:AW125" si="161">R118*S118</f>
        <v>5527</v>
      </c>
      <c r="AX118" s="251"/>
      <c r="AY118" s="838">
        <f t="shared" si="158"/>
        <v>5527</v>
      </c>
      <c r="AZ118" s="838"/>
      <c r="BA118" s="839"/>
    </row>
    <row r="119" spans="2:53" s="76" customFormat="1" ht="63">
      <c r="B119" s="703">
        <f t="shared" si="114"/>
        <v>87</v>
      </c>
      <c r="C119" s="197" t="s">
        <v>1790</v>
      </c>
      <c r="D119" s="212" t="s">
        <v>1071</v>
      </c>
      <c r="E119" s="206" t="s">
        <v>1072</v>
      </c>
      <c r="F119" s="206">
        <v>9</v>
      </c>
      <c r="G119" s="199">
        <v>5527</v>
      </c>
      <c r="H119" s="741"/>
      <c r="I119" s="206"/>
      <c r="J119" s="741"/>
      <c r="K119" s="206"/>
      <c r="L119" s="206"/>
      <c r="M119" s="741"/>
      <c r="N119" s="206"/>
      <c r="O119" s="741"/>
      <c r="P119" s="206"/>
      <c r="Q119" s="199"/>
      <c r="R119" s="199">
        <f t="shared" si="141"/>
        <v>5527</v>
      </c>
      <c r="S119" s="199">
        <v>1</v>
      </c>
      <c r="T119" s="206"/>
      <c r="U119" s="206"/>
      <c r="V119" s="741"/>
      <c r="W119" s="206"/>
      <c r="X119" s="718">
        <v>29</v>
      </c>
      <c r="Y119" s="737">
        <v>0.3</v>
      </c>
      <c r="Z119" s="199">
        <f t="shared" si="142"/>
        <v>1658.1</v>
      </c>
      <c r="AA119" s="199"/>
      <c r="AB119" s="199">
        <f t="shared" si="159"/>
        <v>7185.1</v>
      </c>
      <c r="AC119" s="738">
        <f t="shared" si="143"/>
        <v>6314.9</v>
      </c>
      <c r="AD119" s="738">
        <f t="shared" si="144"/>
        <v>13500</v>
      </c>
      <c r="AE119" s="202">
        <f t="shared" si="145"/>
        <v>13500</v>
      </c>
      <c r="AF119" s="202">
        <f t="shared" si="146"/>
        <v>6314.9</v>
      </c>
      <c r="AG119" s="738">
        <f t="shared" si="147"/>
        <v>7100</v>
      </c>
      <c r="AH119" s="202">
        <f t="shared" si="160"/>
        <v>-85.099999999999909</v>
      </c>
      <c r="AI119" s="203">
        <f t="shared" si="148"/>
        <v>5527</v>
      </c>
      <c r="AJ119" s="203">
        <f t="shared" si="149"/>
        <v>0</v>
      </c>
      <c r="AK119" s="203">
        <f t="shared" si="150"/>
        <v>5527</v>
      </c>
      <c r="AL119" s="203">
        <f t="shared" si="151"/>
        <v>0</v>
      </c>
      <c r="AM119" s="203">
        <f t="shared" si="152"/>
        <v>0</v>
      </c>
      <c r="AN119" s="203">
        <f t="shared" si="152"/>
        <v>0</v>
      </c>
      <c r="AO119" s="205">
        <f t="shared" si="153"/>
        <v>1658.1</v>
      </c>
      <c r="AP119" s="205">
        <f t="shared" si="154"/>
        <v>0</v>
      </c>
      <c r="AQ119" s="205">
        <f t="shared" si="155"/>
        <v>0</v>
      </c>
      <c r="AR119" s="205">
        <f t="shared" si="156"/>
        <v>0</v>
      </c>
      <c r="AS119" s="205">
        <f t="shared" si="157"/>
        <v>0</v>
      </c>
      <c r="AT119" s="209">
        <f t="shared" si="115"/>
        <v>5527</v>
      </c>
      <c r="AU119" s="209">
        <f t="shared" si="115"/>
        <v>0</v>
      </c>
      <c r="AV119" s="203"/>
      <c r="AW119" s="251">
        <f t="shared" si="161"/>
        <v>5527</v>
      </c>
      <c r="AX119" s="251"/>
      <c r="AY119" s="838">
        <f t="shared" si="158"/>
        <v>5527</v>
      </c>
      <c r="AZ119" s="838"/>
      <c r="BA119" s="839"/>
    </row>
    <row r="120" spans="2:53" s="76" customFormat="1" ht="63">
      <c r="B120" s="703">
        <f t="shared" si="114"/>
        <v>88</v>
      </c>
      <c r="C120" s="197" t="s">
        <v>1790</v>
      </c>
      <c r="D120" s="198" t="s">
        <v>1792</v>
      </c>
      <c r="E120" s="703" t="s">
        <v>1075</v>
      </c>
      <c r="F120" s="703">
        <v>9</v>
      </c>
      <c r="G120" s="199">
        <v>5527</v>
      </c>
      <c r="H120" s="736"/>
      <c r="I120" s="199"/>
      <c r="J120" s="736"/>
      <c r="K120" s="199"/>
      <c r="L120" s="199"/>
      <c r="M120" s="736"/>
      <c r="N120" s="199"/>
      <c r="O120" s="736"/>
      <c r="P120" s="199"/>
      <c r="Q120" s="199"/>
      <c r="R120" s="199">
        <f t="shared" si="141"/>
        <v>5527</v>
      </c>
      <c r="S120" s="199">
        <v>1</v>
      </c>
      <c r="T120" s="199"/>
      <c r="U120" s="199"/>
      <c r="V120" s="736"/>
      <c r="W120" s="199"/>
      <c r="X120" s="718">
        <v>30</v>
      </c>
      <c r="Y120" s="737">
        <v>0.3</v>
      </c>
      <c r="Z120" s="199">
        <f t="shared" si="142"/>
        <v>1658.1</v>
      </c>
      <c r="AA120" s="199"/>
      <c r="AB120" s="199">
        <f>(R120+Z120)*S120+AA120</f>
        <v>7185.1</v>
      </c>
      <c r="AC120" s="738">
        <f t="shared" si="143"/>
        <v>6314.9</v>
      </c>
      <c r="AD120" s="738">
        <f>AB120+AC120</f>
        <v>13500</v>
      </c>
      <c r="AE120" s="202">
        <f>13500*S120</f>
        <v>13500</v>
      </c>
      <c r="AF120" s="202">
        <f>AE120-AB120</f>
        <v>6314.9</v>
      </c>
      <c r="AG120" s="738">
        <f t="shared" si="147"/>
        <v>7100</v>
      </c>
      <c r="AH120" s="202">
        <f t="shared" si="160"/>
        <v>-85.099999999999909</v>
      </c>
      <c r="AI120" s="203">
        <f t="shared" si="148"/>
        <v>5527</v>
      </c>
      <c r="AJ120" s="203">
        <f t="shared" si="149"/>
        <v>0</v>
      </c>
      <c r="AK120" s="203">
        <f t="shared" si="150"/>
        <v>5527</v>
      </c>
      <c r="AL120" s="203">
        <f t="shared" si="151"/>
        <v>0</v>
      </c>
      <c r="AM120" s="203">
        <f t="shared" si="152"/>
        <v>0</v>
      </c>
      <c r="AN120" s="203">
        <f t="shared" si="152"/>
        <v>0</v>
      </c>
      <c r="AO120" s="205">
        <f t="shared" si="153"/>
        <v>1658.1</v>
      </c>
      <c r="AP120" s="205">
        <f t="shared" si="154"/>
        <v>0</v>
      </c>
      <c r="AQ120" s="205">
        <f t="shared" si="155"/>
        <v>0</v>
      </c>
      <c r="AR120" s="205">
        <f t="shared" si="156"/>
        <v>0</v>
      </c>
      <c r="AS120" s="205">
        <f t="shared" si="157"/>
        <v>0</v>
      </c>
      <c r="AT120" s="209">
        <f t="shared" si="115"/>
        <v>5527</v>
      </c>
      <c r="AU120" s="209">
        <f t="shared" si="115"/>
        <v>0</v>
      </c>
      <c r="AV120" s="203"/>
      <c r="AW120" s="251">
        <f t="shared" si="161"/>
        <v>5527</v>
      </c>
      <c r="AX120" s="251"/>
      <c r="AY120" s="838">
        <f t="shared" si="158"/>
        <v>5527</v>
      </c>
      <c r="AZ120" s="838"/>
      <c r="BA120" s="839"/>
    </row>
    <row r="121" spans="2:53" s="76" customFormat="1" ht="63">
      <c r="B121" s="703">
        <f t="shared" si="114"/>
        <v>89</v>
      </c>
      <c r="C121" s="197" t="s">
        <v>1790</v>
      </c>
      <c r="D121" s="198" t="s">
        <v>1363</v>
      </c>
      <c r="E121" s="703" t="s">
        <v>1076</v>
      </c>
      <c r="F121" s="703">
        <v>9</v>
      </c>
      <c r="G121" s="199">
        <v>5527</v>
      </c>
      <c r="H121" s="736"/>
      <c r="I121" s="199"/>
      <c r="J121" s="736"/>
      <c r="K121" s="199"/>
      <c r="L121" s="199"/>
      <c r="M121" s="736"/>
      <c r="N121" s="199"/>
      <c r="O121" s="736"/>
      <c r="P121" s="206"/>
      <c r="Q121" s="206"/>
      <c r="R121" s="199">
        <f t="shared" si="141"/>
        <v>5527</v>
      </c>
      <c r="S121" s="199">
        <v>1</v>
      </c>
      <c r="T121" s="199"/>
      <c r="U121" s="206"/>
      <c r="V121" s="741"/>
      <c r="W121" s="206"/>
      <c r="X121" s="718">
        <v>30</v>
      </c>
      <c r="Y121" s="737">
        <v>0.3</v>
      </c>
      <c r="Z121" s="199">
        <f t="shared" si="142"/>
        <v>1658.1</v>
      </c>
      <c r="AA121" s="199"/>
      <c r="AB121" s="199">
        <f>(R121+Z121)*S121+AA121</f>
        <v>7185.1</v>
      </c>
      <c r="AC121" s="738">
        <f>AF121</f>
        <v>6314.9</v>
      </c>
      <c r="AD121" s="738">
        <f>AB121+AC121</f>
        <v>13500</v>
      </c>
      <c r="AE121" s="202">
        <f>13500*S121</f>
        <v>13500</v>
      </c>
      <c r="AF121" s="202">
        <f>AE121-AB121</f>
        <v>6314.9</v>
      </c>
      <c r="AG121" s="738">
        <f t="shared" si="147"/>
        <v>7100</v>
      </c>
      <c r="AH121" s="202">
        <f t="shared" si="160"/>
        <v>-85.099999999999909</v>
      </c>
      <c r="AI121" s="203">
        <f t="shared" si="148"/>
        <v>5527</v>
      </c>
      <c r="AJ121" s="203">
        <f t="shared" si="149"/>
        <v>0</v>
      </c>
      <c r="AK121" s="203">
        <f t="shared" si="150"/>
        <v>5527</v>
      </c>
      <c r="AL121" s="203">
        <f t="shared" si="151"/>
        <v>0</v>
      </c>
      <c r="AM121" s="203">
        <f t="shared" si="152"/>
        <v>0</v>
      </c>
      <c r="AN121" s="203">
        <f t="shared" si="152"/>
        <v>0</v>
      </c>
      <c r="AO121" s="205">
        <f t="shared" si="153"/>
        <v>1658.1</v>
      </c>
      <c r="AP121" s="205">
        <f t="shared" si="154"/>
        <v>0</v>
      </c>
      <c r="AQ121" s="205">
        <f t="shared" si="155"/>
        <v>0</v>
      </c>
      <c r="AR121" s="205">
        <f t="shared" si="156"/>
        <v>0</v>
      </c>
      <c r="AS121" s="205">
        <f t="shared" si="157"/>
        <v>0</v>
      </c>
      <c r="AT121" s="209">
        <f t="shared" si="115"/>
        <v>5527</v>
      </c>
      <c r="AU121" s="209">
        <f t="shared" si="115"/>
        <v>0</v>
      </c>
      <c r="AV121" s="203"/>
      <c r="AW121" s="251">
        <f t="shared" si="161"/>
        <v>5527</v>
      </c>
      <c r="AX121" s="251"/>
      <c r="AY121" s="838">
        <f t="shared" si="158"/>
        <v>5527</v>
      </c>
      <c r="AZ121" s="838"/>
      <c r="BA121" s="839"/>
    </row>
    <row r="122" spans="2:53" s="76" customFormat="1" ht="63">
      <c r="B122" s="703">
        <f t="shared" si="114"/>
        <v>90</v>
      </c>
      <c r="C122" s="197" t="s">
        <v>1790</v>
      </c>
      <c r="D122" s="198" t="s">
        <v>1793</v>
      </c>
      <c r="E122" s="703" t="s">
        <v>1077</v>
      </c>
      <c r="F122" s="703">
        <v>9</v>
      </c>
      <c r="G122" s="199">
        <v>5527</v>
      </c>
      <c r="H122" s="736"/>
      <c r="I122" s="199"/>
      <c r="J122" s="736"/>
      <c r="K122" s="199"/>
      <c r="L122" s="199"/>
      <c r="M122" s="736"/>
      <c r="N122" s="199"/>
      <c r="O122" s="736"/>
      <c r="P122" s="199"/>
      <c r="Q122" s="199"/>
      <c r="R122" s="199">
        <f t="shared" si="141"/>
        <v>5527</v>
      </c>
      <c r="S122" s="199">
        <v>1</v>
      </c>
      <c r="T122" s="199"/>
      <c r="U122" s="199"/>
      <c r="V122" s="736"/>
      <c r="W122" s="199"/>
      <c r="X122" s="718">
        <v>42</v>
      </c>
      <c r="Y122" s="737">
        <v>0.3</v>
      </c>
      <c r="Z122" s="199">
        <f t="shared" si="142"/>
        <v>1658.1</v>
      </c>
      <c r="AA122" s="199"/>
      <c r="AB122" s="199">
        <f t="shared" si="159"/>
        <v>7185.1</v>
      </c>
      <c r="AC122" s="738">
        <f t="shared" si="143"/>
        <v>6314.9</v>
      </c>
      <c r="AD122" s="738">
        <f t="shared" si="144"/>
        <v>13500</v>
      </c>
      <c r="AE122" s="202">
        <f t="shared" si="145"/>
        <v>13500</v>
      </c>
      <c r="AF122" s="202">
        <f>AE122-AB122</f>
        <v>6314.9</v>
      </c>
      <c r="AG122" s="738">
        <f t="shared" si="147"/>
        <v>7100</v>
      </c>
      <c r="AH122" s="202">
        <f t="shared" si="160"/>
        <v>-85.099999999999909</v>
      </c>
      <c r="AI122" s="203">
        <f t="shared" si="148"/>
        <v>5527</v>
      </c>
      <c r="AJ122" s="203">
        <f t="shared" si="149"/>
        <v>0</v>
      </c>
      <c r="AK122" s="203">
        <f t="shared" si="150"/>
        <v>5527</v>
      </c>
      <c r="AL122" s="203">
        <f t="shared" si="151"/>
        <v>0</v>
      </c>
      <c r="AM122" s="203">
        <f t="shared" si="152"/>
        <v>0</v>
      </c>
      <c r="AN122" s="203">
        <f t="shared" si="152"/>
        <v>0</v>
      </c>
      <c r="AO122" s="205">
        <f t="shared" si="153"/>
        <v>1658.1</v>
      </c>
      <c r="AP122" s="205">
        <f t="shared" si="154"/>
        <v>0</v>
      </c>
      <c r="AQ122" s="205">
        <f t="shared" si="155"/>
        <v>0</v>
      </c>
      <c r="AR122" s="205">
        <f t="shared" si="156"/>
        <v>0</v>
      </c>
      <c r="AS122" s="205">
        <f t="shared" si="157"/>
        <v>0</v>
      </c>
      <c r="AT122" s="209">
        <f t="shared" si="115"/>
        <v>5527</v>
      </c>
      <c r="AU122" s="209">
        <f t="shared" si="115"/>
        <v>0</v>
      </c>
      <c r="AV122" s="203"/>
      <c r="AW122" s="251">
        <f t="shared" si="161"/>
        <v>5527</v>
      </c>
      <c r="AX122" s="251"/>
      <c r="AY122" s="838">
        <f t="shared" si="158"/>
        <v>5527</v>
      </c>
      <c r="AZ122" s="838"/>
      <c r="BA122" s="839"/>
    </row>
    <row r="123" spans="2:53" s="76" customFormat="1" ht="87.75">
      <c r="B123" s="703">
        <f t="shared" si="114"/>
        <v>91</v>
      </c>
      <c r="C123" s="197" t="s">
        <v>1790</v>
      </c>
      <c r="D123" s="198" t="s">
        <v>165</v>
      </c>
      <c r="E123" s="703" t="s">
        <v>1078</v>
      </c>
      <c r="F123" s="703">
        <v>9</v>
      </c>
      <c r="G123" s="199">
        <v>5527</v>
      </c>
      <c r="H123" s="736"/>
      <c r="I123" s="199"/>
      <c r="J123" s="737"/>
      <c r="K123" s="201"/>
      <c r="L123" s="201"/>
      <c r="M123" s="736"/>
      <c r="N123" s="199"/>
      <c r="O123" s="736"/>
      <c r="P123" s="206"/>
      <c r="Q123" s="206"/>
      <c r="R123" s="199">
        <f t="shared" si="141"/>
        <v>5527</v>
      </c>
      <c r="S123" s="199">
        <v>1</v>
      </c>
      <c r="T123" s="199"/>
      <c r="U123" s="206"/>
      <c r="V123" s="741"/>
      <c r="W123" s="206"/>
      <c r="X123" s="718">
        <v>32</v>
      </c>
      <c r="Y123" s="737">
        <v>0.3</v>
      </c>
      <c r="Z123" s="199">
        <f t="shared" si="142"/>
        <v>1658.1</v>
      </c>
      <c r="AA123" s="199"/>
      <c r="AB123" s="199">
        <f t="shared" si="159"/>
        <v>7185.1</v>
      </c>
      <c r="AC123" s="738">
        <f t="shared" si="143"/>
        <v>6314.9</v>
      </c>
      <c r="AD123" s="738">
        <f t="shared" si="144"/>
        <v>13500</v>
      </c>
      <c r="AE123" s="202">
        <f t="shared" si="145"/>
        <v>13500</v>
      </c>
      <c r="AF123" s="202">
        <f t="shared" si="146"/>
        <v>6314.9</v>
      </c>
      <c r="AG123" s="738">
        <f t="shared" si="147"/>
        <v>7100</v>
      </c>
      <c r="AH123" s="202">
        <f t="shared" si="160"/>
        <v>-85.099999999999909</v>
      </c>
      <c r="AI123" s="203">
        <f t="shared" si="148"/>
        <v>5527</v>
      </c>
      <c r="AJ123" s="203">
        <f t="shared" si="149"/>
        <v>0</v>
      </c>
      <c r="AK123" s="203">
        <f t="shared" si="150"/>
        <v>5527</v>
      </c>
      <c r="AL123" s="203">
        <f t="shared" si="151"/>
        <v>0</v>
      </c>
      <c r="AM123" s="203">
        <f t="shared" si="152"/>
        <v>0</v>
      </c>
      <c r="AN123" s="203">
        <f t="shared" si="152"/>
        <v>0</v>
      </c>
      <c r="AO123" s="205">
        <f t="shared" si="153"/>
        <v>1658.1</v>
      </c>
      <c r="AP123" s="205">
        <f t="shared" si="154"/>
        <v>0</v>
      </c>
      <c r="AQ123" s="205">
        <f t="shared" si="155"/>
        <v>0</v>
      </c>
      <c r="AR123" s="205">
        <f t="shared" si="156"/>
        <v>0</v>
      </c>
      <c r="AS123" s="205">
        <f t="shared" si="157"/>
        <v>0</v>
      </c>
      <c r="AT123" s="209">
        <f t="shared" si="115"/>
        <v>5527</v>
      </c>
      <c r="AU123" s="209">
        <f t="shared" si="115"/>
        <v>0</v>
      </c>
      <c r="AV123" s="203"/>
      <c r="AW123" s="251">
        <f t="shared" si="161"/>
        <v>5527</v>
      </c>
      <c r="AX123" s="251"/>
      <c r="AY123" s="838">
        <f t="shared" si="158"/>
        <v>5527</v>
      </c>
      <c r="AZ123" s="838"/>
      <c r="BA123" s="839"/>
    </row>
    <row r="124" spans="2:53" s="76" customFormat="1" ht="63">
      <c r="B124" s="703">
        <f t="shared" si="114"/>
        <v>92</v>
      </c>
      <c r="C124" s="197" t="s">
        <v>1790</v>
      </c>
      <c r="D124" s="198" t="s">
        <v>1794</v>
      </c>
      <c r="E124" s="703" t="s">
        <v>1795</v>
      </c>
      <c r="F124" s="703">
        <v>8</v>
      </c>
      <c r="G124" s="199">
        <v>5240</v>
      </c>
      <c r="H124" s="736"/>
      <c r="I124" s="199"/>
      <c r="J124" s="736"/>
      <c r="K124" s="199"/>
      <c r="L124" s="199"/>
      <c r="M124" s="736"/>
      <c r="N124" s="199"/>
      <c r="O124" s="736"/>
      <c r="P124" s="199"/>
      <c r="Q124" s="199"/>
      <c r="R124" s="199">
        <f t="shared" si="141"/>
        <v>5240</v>
      </c>
      <c r="S124" s="199">
        <v>1</v>
      </c>
      <c r="T124" s="199"/>
      <c r="U124" s="199"/>
      <c r="V124" s="736"/>
      <c r="W124" s="199"/>
      <c r="X124" s="718">
        <v>9</v>
      </c>
      <c r="Y124" s="737">
        <v>0.1</v>
      </c>
      <c r="Z124" s="199">
        <f t="shared" si="142"/>
        <v>524</v>
      </c>
      <c r="AA124" s="199">
        <f>AH124</f>
        <v>1336</v>
      </c>
      <c r="AB124" s="199">
        <f>(R124+Z124)*S124+AA124</f>
        <v>7100</v>
      </c>
      <c r="AC124" s="738">
        <f t="shared" si="143"/>
        <v>6400</v>
      </c>
      <c r="AD124" s="738">
        <f t="shared" si="144"/>
        <v>13500</v>
      </c>
      <c r="AE124" s="202">
        <f t="shared" si="145"/>
        <v>13500</v>
      </c>
      <c r="AF124" s="202">
        <f t="shared" si="146"/>
        <v>6400</v>
      </c>
      <c r="AG124" s="738">
        <f t="shared" si="147"/>
        <v>7100</v>
      </c>
      <c r="AH124" s="202">
        <f>AG124-(R124*S124)-Z124</f>
        <v>1336</v>
      </c>
      <c r="AI124" s="203">
        <f t="shared" si="148"/>
        <v>5240</v>
      </c>
      <c r="AJ124" s="203">
        <f t="shared" si="149"/>
        <v>0</v>
      </c>
      <c r="AK124" s="203">
        <f t="shared" si="150"/>
        <v>5240</v>
      </c>
      <c r="AL124" s="203">
        <f t="shared" si="151"/>
        <v>0</v>
      </c>
      <c r="AM124" s="203">
        <f t="shared" si="152"/>
        <v>0</v>
      </c>
      <c r="AN124" s="203">
        <f t="shared" si="152"/>
        <v>0</v>
      </c>
      <c r="AO124" s="205">
        <f t="shared" si="153"/>
        <v>524</v>
      </c>
      <c r="AP124" s="205">
        <f t="shared" si="154"/>
        <v>0</v>
      </c>
      <c r="AQ124" s="205">
        <f t="shared" si="155"/>
        <v>1336</v>
      </c>
      <c r="AR124" s="205">
        <f t="shared" si="156"/>
        <v>0</v>
      </c>
      <c r="AS124" s="205">
        <f t="shared" si="157"/>
        <v>0</v>
      </c>
      <c r="AT124" s="209">
        <f t="shared" si="115"/>
        <v>5240</v>
      </c>
      <c r="AU124" s="209">
        <f t="shared" si="115"/>
        <v>0</v>
      </c>
      <c r="AV124" s="203"/>
      <c r="AW124" s="251">
        <f t="shared" si="161"/>
        <v>5240</v>
      </c>
      <c r="AX124" s="251"/>
      <c r="AY124" s="838">
        <f t="shared" si="158"/>
        <v>5240</v>
      </c>
      <c r="AZ124" s="838"/>
      <c r="BA124" s="839"/>
    </row>
    <row r="125" spans="2:53" s="76" customFormat="1" ht="63">
      <c r="B125" s="703">
        <f t="shared" si="114"/>
        <v>93</v>
      </c>
      <c r="C125" s="197" t="s">
        <v>1073</v>
      </c>
      <c r="D125" s="198" t="s">
        <v>1361</v>
      </c>
      <c r="E125" s="703" t="s">
        <v>1074</v>
      </c>
      <c r="F125" s="703">
        <v>9</v>
      </c>
      <c r="G125" s="199">
        <v>5527</v>
      </c>
      <c r="H125" s="736"/>
      <c r="I125" s="199"/>
      <c r="J125" s="736"/>
      <c r="K125" s="199"/>
      <c r="L125" s="199"/>
      <c r="M125" s="736"/>
      <c r="N125" s="199"/>
      <c r="O125" s="737">
        <v>0.25</v>
      </c>
      <c r="P125" s="204">
        <f>G125*O125</f>
        <v>1381.75</v>
      </c>
      <c r="Q125" s="199"/>
      <c r="R125" s="199">
        <f t="shared" si="141"/>
        <v>6908.75</v>
      </c>
      <c r="S125" s="199">
        <v>1</v>
      </c>
      <c r="T125" s="199"/>
      <c r="U125" s="199"/>
      <c r="V125" s="736"/>
      <c r="W125" s="199"/>
      <c r="X125" s="718">
        <v>33</v>
      </c>
      <c r="Y125" s="737">
        <v>0.3</v>
      </c>
      <c r="Z125" s="199">
        <f>R125*Y125</f>
        <v>2072.625</v>
      </c>
      <c r="AA125" s="199"/>
      <c r="AB125" s="199">
        <f>(R125+Z125)*S125</f>
        <v>8981.375</v>
      </c>
      <c r="AC125" s="738">
        <f t="shared" si="143"/>
        <v>4518.625</v>
      </c>
      <c r="AD125" s="738">
        <f t="shared" si="144"/>
        <v>13500</v>
      </c>
      <c r="AE125" s="202">
        <f t="shared" si="145"/>
        <v>13500</v>
      </c>
      <c r="AF125" s="202">
        <f t="shared" si="146"/>
        <v>4518.625</v>
      </c>
      <c r="AG125" s="738">
        <f t="shared" si="147"/>
        <v>7100</v>
      </c>
      <c r="AH125" s="202">
        <f>AG125-(R125*S125)-Z125</f>
        <v>-1881.375</v>
      </c>
      <c r="AI125" s="203">
        <f t="shared" si="148"/>
        <v>5527</v>
      </c>
      <c r="AJ125" s="203">
        <f t="shared" si="149"/>
        <v>0</v>
      </c>
      <c r="AK125" s="203">
        <f t="shared" si="150"/>
        <v>6908.75</v>
      </c>
      <c r="AL125" s="203">
        <f t="shared" si="151"/>
        <v>0</v>
      </c>
      <c r="AM125" s="203">
        <f t="shared" si="152"/>
        <v>1381.75</v>
      </c>
      <c r="AN125" s="203">
        <f t="shared" si="152"/>
        <v>0</v>
      </c>
      <c r="AO125" s="205">
        <f t="shared" si="153"/>
        <v>2072.625</v>
      </c>
      <c r="AP125" s="205">
        <f t="shared" si="154"/>
        <v>0</v>
      </c>
      <c r="AQ125" s="205">
        <f t="shared" si="155"/>
        <v>0</v>
      </c>
      <c r="AR125" s="205">
        <f t="shared" si="156"/>
        <v>0</v>
      </c>
      <c r="AS125" s="205">
        <f t="shared" si="157"/>
        <v>0</v>
      </c>
      <c r="AT125" s="209">
        <f t="shared" si="115"/>
        <v>6908.75</v>
      </c>
      <c r="AU125" s="209">
        <f t="shared" si="115"/>
        <v>0</v>
      </c>
      <c r="AV125" s="203"/>
      <c r="AW125" s="251">
        <f t="shared" si="161"/>
        <v>6908.75</v>
      </c>
      <c r="AX125" s="251"/>
      <c r="AY125" s="838">
        <f t="shared" si="158"/>
        <v>6908.75</v>
      </c>
      <c r="AZ125" s="838"/>
      <c r="BA125" s="839"/>
    </row>
    <row r="126" spans="2:53" s="76" customFormat="1">
      <c r="B126" s="703"/>
      <c r="C126" s="180" t="s">
        <v>1736</v>
      </c>
      <c r="D126" s="207"/>
      <c r="E126" s="194"/>
      <c r="F126" s="193"/>
      <c r="G126" s="183">
        <f>SUM(G115:G125)</f>
        <v>58402</v>
      </c>
      <c r="H126" s="752"/>
      <c r="I126" s="183"/>
      <c r="J126" s="752"/>
      <c r="K126" s="183"/>
      <c r="L126" s="183"/>
      <c r="M126" s="752"/>
      <c r="N126" s="183"/>
      <c r="O126" s="752"/>
      <c r="P126" s="183"/>
      <c r="Q126" s="183"/>
      <c r="R126" s="183">
        <f>SUM(R115:R125)</f>
        <v>59783.75</v>
      </c>
      <c r="S126" s="183">
        <f>SUM(S115:S125)</f>
        <v>11</v>
      </c>
      <c r="T126" s="183">
        <f>SUM(T115:T125)</f>
        <v>0</v>
      </c>
      <c r="U126" s="183"/>
      <c r="V126" s="742"/>
      <c r="W126" s="183"/>
      <c r="X126" s="742"/>
      <c r="Y126" s="742"/>
      <c r="Z126" s="183">
        <f t="shared" ref="Z126:AV126" si="162">SUM(Z115:Z125)</f>
        <v>14976.525000000001</v>
      </c>
      <c r="AA126" s="183">
        <f>SUM(AA115:AA125)</f>
        <v>5731.7</v>
      </c>
      <c r="AB126" s="183">
        <f t="shared" si="162"/>
        <v>80491.974999999991</v>
      </c>
      <c r="AC126" s="183">
        <f t="shared" si="162"/>
        <v>68008.025000000009</v>
      </c>
      <c r="AD126" s="183">
        <f>SUM(AD115:AD125)</f>
        <v>148500</v>
      </c>
      <c r="AE126" s="183">
        <f t="shared" si="162"/>
        <v>148500</v>
      </c>
      <c r="AF126" s="183">
        <f t="shared" si="162"/>
        <v>68008.025000000009</v>
      </c>
      <c r="AG126" s="183">
        <f>SUM(AG115:AG125)</f>
        <v>78100</v>
      </c>
      <c r="AH126" s="183">
        <f t="shared" si="162"/>
        <v>3339.7250000000004</v>
      </c>
      <c r="AI126" s="183">
        <f t="shared" si="162"/>
        <v>58402</v>
      </c>
      <c r="AJ126" s="183">
        <f t="shared" si="162"/>
        <v>0</v>
      </c>
      <c r="AK126" s="183">
        <f t="shared" si="162"/>
        <v>59783.75</v>
      </c>
      <c r="AL126" s="183">
        <f t="shared" si="162"/>
        <v>0</v>
      </c>
      <c r="AM126" s="183">
        <f t="shared" si="162"/>
        <v>1381.75</v>
      </c>
      <c r="AN126" s="183">
        <f t="shared" si="162"/>
        <v>0</v>
      </c>
      <c r="AO126" s="183">
        <f t="shared" si="162"/>
        <v>14976.525000000001</v>
      </c>
      <c r="AP126" s="183">
        <f t="shared" si="162"/>
        <v>0</v>
      </c>
      <c r="AQ126" s="183">
        <f t="shared" si="162"/>
        <v>5731.7</v>
      </c>
      <c r="AR126" s="183">
        <f t="shared" si="162"/>
        <v>0</v>
      </c>
      <c r="AS126" s="183">
        <f t="shared" si="162"/>
        <v>0</v>
      </c>
      <c r="AT126" s="183">
        <f t="shared" si="162"/>
        <v>59783.75</v>
      </c>
      <c r="AU126" s="183">
        <f t="shared" si="162"/>
        <v>0</v>
      </c>
      <c r="AV126" s="183">
        <f t="shared" si="162"/>
        <v>0</v>
      </c>
      <c r="AW126" s="183">
        <f>SUM(AW115:AW125)</f>
        <v>59783.75</v>
      </c>
      <c r="AX126" s="251"/>
      <c r="AY126" s="839"/>
      <c r="AZ126" s="838"/>
      <c r="BA126" s="839"/>
    </row>
    <row r="127" spans="2:53" s="76" customFormat="1">
      <c r="B127" s="703"/>
      <c r="C127" s="180" t="s">
        <v>1278</v>
      </c>
      <c r="D127" s="207"/>
      <c r="E127" s="194"/>
      <c r="F127" s="193"/>
      <c r="G127" s="184">
        <f>G113+G126</f>
        <v>207898</v>
      </c>
      <c r="H127" s="742"/>
      <c r="I127" s="183"/>
      <c r="J127" s="742"/>
      <c r="K127" s="183"/>
      <c r="L127" s="183"/>
      <c r="M127" s="742"/>
      <c r="N127" s="183"/>
      <c r="O127" s="742"/>
      <c r="P127" s="183"/>
      <c r="Q127" s="183"/>
      <c r="R127" s="183">
        <f t="shared" ref="R127:AV127" si="163">R113+R126</f>
        <v>223213.40000000002</v>
      </c>
      <c r="S127" s="183">
        <f t="shared" si="163"/>
        <v>24.5</v>
      </c>
      <c r="T127" s="183">
        <f>T113+T126</f>
        <v>2.5</v>
      </c>
      <c r="U127" s="183"/>
      <c r="V127" s="742"/>
      <c r="W127" s="183"/>
      <c r="X127" s="742"/>
      <c r="Y127" s="742"/>
      <c r="Z127" s="183">
        <f t="shared" si="163"/>
        <v>50721.570000000014</v>
      </c>
      <c r="AA127" s="183">
        <f>AA113+AA126</f>
        <v>9107.7000000000007</v>
      </c>
      <c r="AB127" s="183">
        <f t="shared" si="163"/>
        <v>226601.85625000001</v>
      </c>
      <c r="AC127" s="183">
        <f t="shared" si="163"/>
        <v>241898.14374999999</v>
      </c>
      <c r="AD127" s="183">
        <f>AD113+AD126</f>
        <v>468500</v>
      </c>
      <c r="AE127" s="183">
        <f t="shared" si="163"/>
        <v>468500</v>
      </c>
      <c r="AF127" s="183">
        <f t="shared" si="163"/>
        <v>241898.14374999999</v>
      </c>
      <c r="AG127" s="183">
        <f>AG113+AG126</f>
        <v>191700</v>
      </c>
      <c r="AH127" s="183">
        <f t="shared" si="163"/>
        <v>30679.433749999997</v>
      </c>
      <c r="AI127" s="183">
        <f t="shared" si="163"/>
        <v>152496.25</v>
      </c>
      <c r="AJ127" s="183">
        <f t="shared" si="163"/>
        <v>15240</v>
      </c>
      <c r="AK127" s="183">
        <f t="shared" si="163"/>
        <v>155136.26250000001</v>
      </c>
      <c r="AL127" s="183">
        <f t="shared" si="163"/>
        <v>16891.412500000002</v>
      </c>
      <c r="AM127" s="183">
        <f t="shared" si="163"/>
        <v>5688.7000000000025</v>
      </c>
      <c r="AN127" s="183">
        <f t="shared" si="163"/>
        <v>1433.35</v>
      </c>
      <c r="AO127" s="183">
        <f t="shared" si="163"/>
        <v>35205.4375</v>
      </c>
      <c r="AP127" s="183">
        <f t="shared" si="163"/>
        <v>4176.4324999999999</v>
      </c>
      <c r="AQ127" s="183">
        <f t="shared" si="163"/>
        <v>8301.7000000000007</v>
      </c>
      <c r="AR127" s="183">
        <f t="shared" si="163"/>
        <v>0</v>
      </c>
      <c r="AS127" s="183">
        <f t="shared" si="163"/>
        <v>0</v>
      </c>
      <c r="AT127" s="183">
        <f t="shared" si="163"/>
        <v>153464.45000000001</v>
      </c>
      <c r="AU127" s="183">
        <f t="shared" si="163"/>
        <v>15219.599999999999</v>
      </c>
      <c r="AV127" s="183">
        <f t="shared" si="163"/>
        <v>0</v>
      </c>
      <c r="AW127" s="183">
        <f>AW113+AW126</f>
        <v>178180.02499999999</v>
      </c>
      <c r="AX127" s="251"/>
      <c r="AY127" s="839"/>
      <c r="AZ127" s="838"/>
      <c r="BA127" s="839"/>
    </row>
    <row r="128" spans="2:53" s="76" customFormat="1">
      <c r="B128" s="703"/>
      <c r="C128" s="191" t="s">
        <v>1837</v>
      </c>
      <c r="D128" s="192"/>
      <c r="E128" s="193"/>
      <c r="F128" s="193"/>
      <c r="G128" s="193"/>
      <c r="H128" s="731"/>
      <c r="I128" s="193"/>
      <c r="J128" s="731"/>
      <c r="K128" s="193"/>
      <c r="L128" s="193"/>
      <c r="M128" s="731"/>
      <c r="N128" s="193"/>
      <c r="O128" s="731"/>
      <c r="P128" s="193"/>
      <c r="Q128" s="193"/>
      <c r="R128" s="193"/>
      <c r="S128" s="193"/>
      <c r="T128" s="183"/>
      <c r="U128" s="193"/>
      <c r="V128" s="732"/>
      <c r="W128" s="193"/>
      <c r="X128" s="732"/>
      <c r="Y128" s="732"/>
      <c r="Z128" s="193"/>
      <c r="AA128" s="193"/>
      <c r="AB128" s="193"/>
      <c r="AC128" s="195"/>
      <c r="AD128" s="195"/>
      <c r="AE128" s="195"/>
      <c r="AF128" s="195"/>
      <c r="AG128" s="195"/>
      <c r="AH128" s="195"/>
      <c r="AI128" s="203"/>
      <c r="AJ128" s="203"/>
      <c r="AK128" s="203"/>
      <c r="AL128" s="203"/>
      <c r="AM128" s="203"/>
      <c r="AN128" s="203"/>
      <c r="AO128" s="205"/>
      <c r="AP128" s="205"/>
      <c r="AQ128" s="205"/>
      <c r="AR128" s="205"/>
      <c r="AS128" s="205"/>
      <c r="AT128" s="209"/>
      <c r="AU128" s="209"/>
      <c r="AV128" s="203"/>
      <c r="AW128" s="251"/>
      <c r="AX128" s="251"/>
      <c r="AY128" s="839"/>
      <c r="AZ128" s="838"/>
      <c r="BA128" s="839"/>
    </row>
    <row r="129" spans="2:53" s="76" customFormat="1" ht="61.5">
      <c r="B129" s="703"/>
      <c r="C129" s="191" t="s">
        <v>1766</v>
      </c>
      <c r="D129" s="192"/>
      <c r="E129" s="193"/>
      <c r="F129" s="193"/>
      <c r="G129" s="193"/>
      <c r="H129" s="731"/>
      <c r="I129" s="193"/>
      <c r="J129" s="731"/>
      <c r="K129" s="193"/>
      <c r="L129" s="193"/>
      <c r="M129" s="731"/>
      <c r="N129" s="193"/>
      <c r="O129" s="731"/>
      <c r="P129" s="193"/>
      <c r="Q129" s="193"/>
      <c r="R129" s="193"/>
      <c r="S129" s="193"/>
      <c r="T129" s="183"/>
      <c r="U129" s="193"/>
      <c r="V129" s="732"/>
      <c r="W129" s="193"/>
      <c r="X129" s="732"/>
      <c r="Y129" s="732"/>
      <c r="Z129" s="193"/>
      <c r="AA129" s="193"/>
      <c r="AB129" s="193"/>
      <c r="AC129" s="195"/>
      <c r="AD129" s="195"/>
      <c r="AE129" s="195"/>
      <c r="AF129" s="195"/>
      <c r="AG129" s="195"/>
      <c r="AH129" s="195"/>
      <c r="AI129" s="203"/>
      <c r="AJ129" s="203"/>
      <c r="AK129" s="203"/>
      <c r="AL129" s="203"/>
      <c r="AM129" s="203"/>
      <c r="AN129" s="203"/>
      <c r="AO129" s="205"/>
      <c r="AP129" s="205"/>
      <c r="AQ129" s="205"/>
      <c r="AR129" s="205"/>
      <c r="AS129" s="205"/>
      <c r="AT129" s="209"/>
      <c r="AU129" s="209"/>
      <c r="AV129" s="203"/>
      <c r="AW129" s="251"/>
      <c r="AX129" s="251"/>
      <c r="AY129" s="839"/>
      <c r="AZ129" s="838"/>
      <c r="BA129" s="839"/>
    </row>
    <row r="130" spans="2:53" s="76" customFormat="1">
      <c r="B130" s="703"/>
      <c r="C130" s="220" t="s">
        <v>1382</v>
      </c>
      <c r="D130" s="217"/>
      <c r="E130" s="218"/>
      <c r="F130" s="218"/>
      <c r="G130" s="218"/>
      <c r="H130" s="745"/>
      <c r="I130" s="218"/>
      <c r="J130" s="745"/>
      <c r="K130" s="218"/>
      <c r="L130" s="218"/>
      <c r="M130" s="745"/>
      <c r="N130" s="218"/>
      <c r="O130" s="745"/>
      <c r="P130" s="218"/>
      <c r="Q130" s="218"/>
      <c r="R130" s="218"/>
      <c r="S130" s="218"/>
      <c r="T130" s="218"/>
      <c r="U130" s="218"/>
      <c r="V130" s="746"/>
      <c r="W130" s="218"/>
      <c r="X130" s="746"/>
      <c r="Y130" s="746"/>
      <c r="Z130" s="218"/>
      <c r="AA130" s="218"/>
      <c r="AB130" s="218"/>
      <c r="AC130" s="219"/>
      <c r="AD130" s="219"/>
      <c r="AE130" s="219"/>
      <c r="AF130" s="219"/>
      <c r="AG130" s="219"/>
      <c r="AH130" s="219"/>
      <c r="AI130" s="203"/>
      <c r="AJ130" s="203"/>
      <c r="AK130" s="203"/>
      <c r="AL130" s="203"/>
      <c r="AM130" s="203"/>
      <c r="AN130" s="203"/>
      <c r="AO130" s="205"/>
      <c r="AP130" s="205"/>
      <c r="AQ130" s="205"/>
      <c r="AR130" s="205"/>
      <c r="AS130" s="205"/>
      <c r="AT130" s="209"/>
      <c r="AU130" s="209"/>
      <c r="AV130" s="203"/>
      <c r="AW130" s="251"/>
      <c r="AX130" s="251"/>
      <c r="AY130" s="839"/>
      <c r="AZ130" s="838"/>
      <c r="BA130" s="839"/>
    </row>
    <row r="131" spans="2:53" s="76" customFormat="1" ht="63">
      <c r="B131" s="703">
        <f>B125+1</f>
        <v>94</v>
      </c>
      <c r="C131" s="197" t="s">
        <v>1020</v>
      </c>
      <c r="D131" s="198" t="s">
        <v>1021</v>
      </c>
      <c r="E131" s="703" t="s">
        <v>1022</v>
      </c>
      <c r="F131" s="703">
        <v>14</v>
      </c>
      <c r="G131" s="199">
        <v>7732</v>
      </c>
      <c r="H131" s="737">
        <v>0.2</v>
      </c>
      <c r="I131" s="703">
        <f>G131*H131</f>
        <v>1546.4</v>
      </c>
      <c r="J131" s="737">
        <v>0.4</v>
      </c>
      <c r="K131" s="204">
        <f t="shared" ref="K131:K137" si="164">(G131+I131)*J131</f>
        <v>3711.36</v>
      </c>
      <c r="L131" s="201"/>
      <c r="M131" s="718"/>
      <c r="N131" s="703"/>
      <c r="O131" s="718"/>
      <c r="P131" s="703"/>
      <c r="Q131" s="703"/>
      <c r="R131" s="199">
        <f>G131+I131+K131+L131+N131+P131+Q131</f>
        <v>12989.76</v>
      </c>
      <c r="S131" s="199">
        <v>1</v>
      </c>
      <c r="T131" s="206"/>
      <c r="U131" s="703"/>
      <c r="V131" s="718"/>
      <c r="W131" s="703"/>
      <c r="X131" s="718">
        <v>30</v>
      </c>
      <c r="Y131" s="737">
        <v>0.3</v>
      </c>
      <c r="Z131" s="199">
        <f t="shared" ref="Z131:Z139" si="165">R131*Y131</f>
        <v>3896.9279999999999</v>
      </c>
      <c r="AA131" s="199"/>
      <c r="AB131" s="199">
        <f>(R131+Z131)*S131</f>
        <v>16886.688000000002</v>
      </c>
      <c r="AC131" s="738">
        <f t="shared" ref="AC131:AC139" si="166">AF131</f>
        <v>3113.3119999999981</v>
      </c>
      <c r="AD131" s="738">
        <f t="shared" ref="AD131:AD139" si="167">AB131+AC131</f>
        <v>20000</v>
      </c>
      <c r="AE131" s="202">
        <f>20000*S131</f>
        <v>20000</v>
      </c>
      <c r="AF131" s="202">
        <f t="shared" ref="AF131:AF139" si="168">AE131-AB131</f>
        <v>3113.3119999999981</v>
      </c>
      <c r="AG131" s="738">
        <f>7100*S131</f>
        <v>7100</v>
      </c>
      <c r="AH131" s="202">
        <f t="shared" ref="AH131:AH139" si="169">AB131-AG131</f>
        <v>9786.6880000000019</v>
      </c>
      <c r="AI131" s="203">
        <f t="shared" ref="AI131:AI139" si="170">G131*S131</f>
        <v>7732</v>
      </c>
      <c r="AJ131" s="203">
        <f t="shared" ref="AJ131:AJ139" si="171">G131*T131</f>
        <v>0</v>
      </c>
      <c r="AK131" s="203">
        <f t="shared" ref="AK131:AK139" si="172">R131*S131</f>
        <v>12989.76</v>
      </c>
      <c r="AL131" s="203">
        <f>R131*T131</f>
        <v>0</v>
      </c>
      <c r="AM131" s="203">
        <f t="shared" ref="AM131:AN139" si="173">AK131-AI131</f>
        <v>5257.76</v>
      </c>
      <c r="AN131" s="203">
        <f t="shared" si="173"/>
        <v>0</v>
      </c>
      <c r="AO131" s="205">
        <f t="shared" ref="AO131:AO139" si="174">Z131*S131</f>
        <v>3896.9279999999999</v>
      </c>
      <c r="AP131" s="205">
        <f t="shared" ref="AP131:AP139" si="175">Z131*T131</f>
        <v>0</v>
      </c>
      <c r="AQ131" s="205">
        <f t="shared" ref="AQ131:AQ139" si="176">AA131</f>
        <v>0</v>
      </c>
      <c r="AR131" s="205">
        <f t="shared" ref="AR131:AR139" si="177">W131*S131</f>
        <v>0</v>
      </c>
      <c r="AS131" s="205">
        <f t="shared" ref="AS131:AS139" si="178">W131*T131</f>
        <v>0</v>
      </c>
      <c r="AT131" s="209">
        <f t="shared" si="115"/>
        <v>12989.76</v>
      </c>
      <c r="AU131" s="209">
        <f t="shared" si="115"/>
        <v>0</v>
      </c>
      <c r="AV131" s="203"/>
      <c r="AW131" s="251">
        <f>R131*S131</f>
        <v>12989.76</v>
      </c>
      <c r="AX131" s="251"/>
      <c r="AY131" s="838">
        <f t="shared" ref="AY131:AY139" si="179">AW131</f>
        <v>12989.76</v>
      </c>
      <c r="AZ131" s="838"/>
      <c r="BA131" s="839"/>
    </row>
    <row r="132" spans="2:53" s="76" customFormat="1" ht="58.5">
      <c r="B132" s="703">
        <f t="shared" si="114"/>
        <v>95</v>
      </c>
      <c r="C132" s="197" t="s">
        <v>1739</v>
      </c>
      <c r="D132" s="198" t="s">
        <v>1021</v>
      </c>
      <c r="E132" s="703" t="s">
        <v>1022</v>
      </c>
      <c r="F132" s="703">
        <v>14</v>
      </c>
      <c r="G132" s="199">
        <v>7732</v>
      </c>
      <c r="H132" s="736"/>
      <c r="I132" s="199"/>
      <c r="J132" s="737">
        <v>0.4</v>
      </c>
      <c r="K132" s="204">
        <f t="shared" si="164"/>
        <v>3092.8</v>
      </c>
      <c r="L132" s="201"/>
      <c r="M132" s="718"/>
      <c r="N132" s="703"/>
      <c r="O132" s="718"/>
      <c r="P132" s="703"/>
      <c r="Q132" s="703"/>
      <c r="R132" s="199">
        <f t="shared" ref="R132:R139" si="180">G132+I132+K132+L132+N132+P132+Q132</f>
        <v>10824.8</v>
      </c>
      <c r="S132" s="199"/>
      <c r="T132" s="199">
        <v>0.5</v>
      </c>
      <c r="U132" s="703"/>
      <c r="V132" s="718"/>
      <c r="W132" s="703"/>
      <c r="X132" s="718">
        <v>30</v>
      </c>
      <c r="Y132" s="737">
        <v>0.3</v>
      </c>
      <c r="Z132" s="199">
        <f t="shared" si="165"/>
        <v>3247.4399999999996</v>
      </c>
      <c r="AA132" s="199"/>
      <c r="AB132" s="199">
        <f>(R132+Z132)*T132</f>
        <v>7036.119999999999</v>
      </c>
      <c r="AC132" s="738">
        <f t="shared" si="166"/>
        <v>2963.880000000001</v>
      </c>
      <c r="AD132" s="738">
        <f t="shared" si="167"/>
        <v>10000</v>
      </c>
      <c r="AE132" s="202">
        <f>20000*T132</f>
        <v>10000</v>
      </c>
      <c r="AF132" s="202">
        <f t="shared" si="168"/>
        <v>2963.880000000001</v>
      </c>
      <c r="AG132" s="738">
        <f>7100*T132</f>
        <v>3550</v>
      </c>
      <c r="AH132" s="202">
        <f t="shared" si="169"/>
        <v>3486.119999999999</v>
      </c>
      <c r="AI132" s="203">
        <f t="shared" si="170"/>
        <v>0</v>
      </c>
      <c r="AJ132" s="203">
        <f t="shared" si="171"/>
        <v>3866</v>
      </c>
      <c r="AK132" s="203">
        <f t="shared" si="172"/>
        <v>0</v>
      </c>
      <c r="AL132" s="203">
        <f t="shared" ref="AL132:AL139" si="181">R132*T132</f>
        <v>5412.4</v>
      </c>
      <c r="AM132" s="203">
        <f t="shared" si="173"/>
        <v>0</v>
      </c>
      <c r="AN132" s="203">
        <f t="shared" si="173"/>
        <v>1546.3999999999996</v>
      </c>
      <c r="AO132" s="205">
        <f t="shared" si="174"/>
        <v>0</v>
      </c>
      <c r="AP132" s="205">
        <f t="shared" si="175"/>
        <v>1623.7199999999998</v>
      </c>
      <c r="AQ132" s="205">
        <f t="shared" si="176"/>
        <v>0</v>
      </c>
      <c r="AR132" s="205">
        <f t="shared" si="177"/>
        <v>0</v>
      </c>
      <c r="AS132" s="205">
        <f t="shared" si="178"/>
        <v>0</v>
      </c>
      <c r="AT132" s="209">
        <f>AK132</f>
        <v>0</v>
      </c>
      <c r="AU132" s="209">
        <f t="shared" si="115"/>
        <v>5412.4</v>
      </c>
      <c r="AV132" s="203"/>
      <c r="AW132" s="251">
        <f>R132*T132</f>
        <v>5412.4</v>
      </c>
      <c r="AX132" s="251"/>
      <c r="AY132" s="838">
        <f t="shared" si="179"/>
        <v>5412.4</v>
      </c>
      <c r="AZ132" s="838"/>
      <c r="BA132" s="839"/>
    </row>
    <row r="133" spans="2:53" s="76" customFormat="1" ht="87.75">
      <c r="B133" s="703">
        <f t="shared" si="114"/>
        <v>96</v>
      </c>
      <c r="C133" s="197" t="s">
        <v>1739</v>
      </c>
      <c r="D133" s="198" t="s">
        <v>166</v>
      </c>
      <c r="E133" s="703" t="s">
        <v>1740</v>
      </c>
      <c r="F133" s="703">
        <v>12</v>
      </c>
      <c r="G133" s="199">
        <v>6773</v>
      </c>
      <c r="H133" s="736"/>
      <c r="I133" s="199"/>
      <c r="J133" s="737">
        <v>0.2</v>
      </c>
      <c r="K133" s="204">
        <f t="shared" si="164"/>
        <v>1354.6000000000001</v>
      </c>
      <c r="L133" s="199"/>
      <c r="M133" s="736"/>
      <c r="N133" s="199"/>
      <c r="O133" s="736"/>
      <c r="P133" s="199"/>
      <c r="Q133" s="199"/>
      <c r="R133" s="199">
        <f t="shared" si="180"/>
        <v>8127.6</v>
      </c>
      <c r="S133" s="199"/>
      <c r="T133" s="199">
        <v>0.25</v>
      </c>
      <c r="U133" s="199"/>
      <c r="V133" s="736"/>
      <c r="W133" s="199"/>
      <c r="X133" s="849">
        <v>18</v>
      </c>
      <c r="Y133" s="737">
        <v>0.2</v>
      </c>
      <c r="Z133" s="206">
        <f t="shared" si="165"/>
        <v>1625.5200000000002</v>
      </c>
      <c r="AA133" s="199"/>
      <c r="AB133" s="199">
        <f>(R133+Z133)*T133</f>
        <v>2438.2800000000002</v>
      </c>
      <c r="AC133" s="738">
        <f t="shared" si="166"/>
        <v>2561.7199999999998</v>
      </c>
      <c r="AD133" s="738">
        <f t="shared" si="167"/>
        <v>5000</v>
      </c>
      <c r="AE133" s="202">
        <f>20000*T133</f>
        <v>5000</v>
      </c>
      <c r="AF133" s="202">
        <f t="shared" si="168"/>
        <v>2561.7199999999998</v>
      </c>
      <c r="AG133" s="738">
        <f>7100*T133</f>
        <v>1775</v>
      </c>
      <c r="AH133" s="202">
        <f t="shared" si="169"/>
        <v>663.2800000000002</v>
      </c>
      <c r="AI133" s="203">
        <f t="shared" si="170"/>
        <v>0</v>
      </c>
      <c r="AJ133" s="203">
        <f t="shared" si="171"/>
        <v>1693.25</v>
      </c>
      <c r="AK133" s="203">
        <f t="shared" si="172"/>
        <v>0</v>
      </c>
      <c r="AL133" s="203">
        <f t="shared" si="181"/>
        <v>2031.9</v>
      </c>
      <c r="AM133" s="203">
        <f t="shared" si="173"/>
        <v>0</v>
      </c>
      <c r="AN133" s="203">
        <f t="shared" si="173"/>
        <v>338.65000000000009</v>
      </c>
      <c r="AO133" s="205">
        <f t="shared" si="174"/>
        <v>0</v>
      </c>
      <c r="AP133" s="205">
        <f t="shared" si="175"/>
        <v>406.38000000000005</v>
      </c>
      <c r="AQ133" s="205">
        <f t="shared" si="176"/>
        <v>0</v>
      </c>
      <c r="AR133" s="205">
        <f t="shared" si="177"/>
        <v>0</v>
      </c>
      <c r="AS133" s="205">
        <f t="shared" si="178"/>
        <v>0</v>
      </c>
      <c r="AT133" s="209">
        <f>AK133</f>
        <v>0</v>
      </c>
      <c r="AU133" s="209">
        <f t="shared" si="115"/>
        <v>2031.9</v>
      </c>
      <c r="AV133" s="203"/>
      <c r="AW133" s="251">
        <f>R133*T133</f>
        <v>2031.9</v>
      </c>
      <c r="AX133" s="251"/>
      <c r="AY133" s="838">
        <f t="shared" si="179"/>
        <v>2031.9</v>
      </c>
      <c r="AZ133" s="838"/>
      <c r="BA133" s="839"/>
    </row>
    <row r="134" spans="2:53" s="76" customFormat="1" ht="58.5">
      <c r="B134" s="703">
        <f t="shared" si="114"/>
        <v>97</v>
      </c>
      <c r="C134" s="197" t="s">
        <v>1739</v>
      </c>
      <c r="D134" s="198" t="s">
        <v>1345</v>
      </c>
      <c r="E134" s="703" t="s">
        <v>1346</v>
      </c>
      <c r="F134" s="703">
        <v>14</v>
      </c>
      <c r="G134" s="199">
        <v>7732</v>
      </c>
      <c r="H134" s="736"/>
      <c r="I134" s="199"/>
      <c r="J134" s="737">
        <v>0.2</v>
      </c>
      <c r="K134" s="204">
        <f>(G134+I134)*J134</f>
        <v>1546.4</v>
      </c>
      <c r="L134" s="199"/>
      <c r="M134" s="736"/>
      <c r="N134" s="199"/>
      <c r="O134" s="736"/>
      <c r="P134" s="199"/>
      <c r="Q134" s="199"/>
      <c r="R134" s="199">
        <f t="shared" si="180"/>
        <v>9278.4</v>
      </c>
      <c r="S134" s="199"/>
      <c r="T134" s="199">
        <v>0.25</v>
      </c>
      <c r="U134" s="199"/>
      <c r="V134" s="736"/>
      <c r="W134" s="199"/>
      <c r="X134" s="849">
        <v>15</v>
      </c>
      <c r="Y134" s="737">
        <v>0.2</v>
      </c>
      <c r="Z134" s="199">
        <f t="shared" si="165"/>
        <v>1855.68</v>
      </c>
      <c r="AA134" s="199"/>
      <c r="AB134" s="199">
        <f>(R134+Z134)*T134</f>
        <v>2783.52</v>
      </c>
      <c r="AC134" s="738">
        <f t="shared" si="166"/>
        <v>2216.48</v>
      </c>
      <c r="AD134" s="738">
        <f t="shared" si="167"/>
        <v>5000</v>
      </c>
      <c r="AE134" s="202">
        <f>20000*T134</f>
        <v>5000</v>
      </c>
      <c r="AF134" s="202">
        <f t="shared" si="168"/>
        <v>2216.48</v>
      </c>
      <c r="AG134" s="738">
        <f>7100*T134</f>
        <v>1775</v>
      </c>
      <c r="AH134" s="202">
        <f t="shared" si="169"/>
        <v>1008.52</v>
      </c>
      <c r="AI134" s="203">
        <f t="shared" si="170"/>
        <v>0</v>
      </c>
      <c r="AJ134" s="203">
        <f t="shared" si="171"/>
        <v>1933</v>
      </c>
      <c r="AK134" s="203">
        <f t="shared" si="172"/>
        <v>0</v>
      </c>
      <c r="AL134" s="203">
        <f t="shared" si="181"/>
        <v>2319.6</v>
      </c>
      <c r="AM134" s="203">
        <f t="shared" si="173"/>
        <v>0</v>
      </c>
      <c r="AN134" s="203">
        <f t="shared" si="173"/>
        <v>386.59999999999991</v>
      </c>
      <c r="AO134" s="205">
        <f t="shared" si="174"/>
        <v>0</v>
      </c>
      <c r="AP134" s="205">
        <f t="shared" si="175"/>
        <v>463.92</v>
      </c>
      <c r="AQ134" s="205">
        <f t="shared" si="176"/>
        <v>0</v>
      </c>
      <c r="AR134" s="205">
        <f t="shared" si="177"/>
        <v>0</v>
      </c>
      <c r="AS134" s="205">
        <f t="shared" si="178"/>
        <v>0</v>
      </c>
      <c r="AT134" s="209">
        <f>AK134</f>
        <v>0</v>
      </c>
      <c r="AU134" s="209">
        <f t="shared" si="115"/>
        <v>2319.6</v>
      </c>
      <c r="AV134" s="203"/>
      <c r="AW134" s="251">
        <f>R134*T134</f>
        <v>2319.6</v>
      </c>
      <c r="AX134" s="251"/>
      <c r="AY134" s="838">
        <f t="shared" si="179"/>
        <v>2319.6</v>
      </c>
      <c r="AZ134" s="838"/>
      <c r="BA134" s="839"/>
    </row>
    <row r="135" spans="2:53" s="76" customFormat="1">
      <c r="B135" s="703">
        <f t="shared" si="114"/>
        <v>98</v>
      </c>
      <c r="C135" s="197" t="s">
        <v>1739</v>
      </c>
      <c r="D135" s="198" t="s">
        <v>167</v>
      </c>
      <c r="E135" s="703" t="s">
        <v>168</v>
      </c>
      <c r="F135" s="703">
        <v>11</v>
      </c>
      <c r="G135" s="199">
        <v>6294</v>
      </c>
      <c r="H135" s="718"/>
      <c r="I135" s="703"/>
      <c r="J135" s="737">
        <v>0.2</v>
      </c>
      <c r="K135" s="204">
        <f t="shared" si="164"/>
        <v>1258.8000000000002</v>
      </c>
      <c r="L135" s="201"/>
      <c r="M135" s="718"/>
      <c r="N135" s="703"/>
      <c r="O135" s="718"/>
      <c r="P135" s="703"/>
      <c r="Q135" s="703"/>
      <c r="R135" s="199">
        <f t="shared" si="180"/>
        <v>7552.8</v>
      </c>
      <c r="S135" s="199">
        <v>1</v>
      </c>
      <c r="T135" s="199"/>
      <c r="U135" s="703"/>
      <c r="V135" s="718"/>
      <c r="W135" s="703"/>
      <c r="X135" s="718">
        <v>0</v>
      </c>
      <c r="Y135" s="737">
        <v>0</v>
      </c>
      <c r="Z135" s="199">
        <f t="shared" si="165"/>
        <v>0</v>
      </c>
      <c r="AA135" s="199"/>
      <c r="AB135" s="199">
        <f>(R135+Z135)*S135</f>
        <v>7552.8</v>
      </c>
      <c r="AC135" s="738">
        <f>AF135</f>
        <v>12447.2</v>
      </c>
      <c r="AD135" s="738">
        <f>AB135+AC135</f>
        <v>20000</v>
      </c>
      <c r="AE135" s="202">
        <f>20000*S135</f>
        <v>20000</v>
      </c>
      <c r="AF135" s="202">
        <f>AE135-AB135</f>
        <v>12447.2</v>
      </c>
      <c r="AG135" s="738">
        <f>7100*S135</f>
        <v>7100</v>
      </c>
      <c r="AH135" s="202">
        <f t="shared" si="169"/>
        <v>452.80000000000018</v>
      </c>
      <c r="AI135" s="203">
        <f>G135*S135</f>
        <v>6294</v>
      </c>
      <c r="AJ135" s="203">
        <f>G135*T135</f>
        <v>0</v>
      </c>
      <c r="AK135" s="203">
        <f t="shared" si="172"/>
        <v>7552.8</v>
      </c>
      <c r="AL135" s="203">
        <f t="shared" si="181"/>
        <v>0</v>
      </c>
      <c r="AM135" s="203">
        <f t="shared" si="173"/>
        <v>1258.8000000000002</v>
      </c>
      <c r="AN135" s="203">
        <f t="shared" si="173"/>
        <v>0</v>
      </c>
      <c r="AO135" s="205">
        <f t="shared" si="174"/>
        <v>0</v>
      </c>
      <c r="AP135" s="205">
        <f t="shared" si="175"/>
        <v>0</v>
      </c>
      <c r="AQ135" s="205">
        <f t="shared" si="176"/>
        <v>0</v>
      </c>
      <c r="AR135" s="205">
        <f t="shared" si="177"/>
        <v>0</v>
      </c>
      <c r="AS135" s="205">
        <f t="shared" si="178"/>
        <v>0</v>
      </c>
      <c r="AT135" s="209">
        <f t="shared" si="115"/>
        <v>7552.8</v>
      </c>
      <c r="AU135" s="209">
        <f t="shared" si="115"/>
        <v>0</v>
      </c>
      <c r="AV135" s="203"/>
      <c r="AW135" s="251">
        <f>R135*S135</f>
        <v>7552.8</v>
      </c>
      <c r="AX135" s="251"/>
      <c r="AY135" s="838">
        <f t="shared" si="179"/>
        <v>7552.8</v>
      </c>
      <c r="AZ135" s="838"/>
      <c r="BA135" s="839"/>
    </row>
    <row r="136" spans="2:53" s="76" customFormat="1" ht="52.5" customHeight="1">
      <c r="B136" s="703">
        <f t="shared" si="114"/>
        <v>99</v>
      </c>
      <c r="C136" s="197" t="s">
        <v>1739</v>
      </c>
      <c r="D136" s="198" t="s">
        <v>1751</v>
      </c>
      <c r="E136" s="703" t="s">
        <v>169</v>
      </c>
      <c r="F136" s="703">
        <v>11</v>
      </c>
      <c r="G136" s="199">
        <v>6294</v>
      </c>
      <c r="H136" s="718"/>
      <c r="I136" s="703"/>
      <c r="J136" s="737">
        <v>0.2</v>
      </c>
      <c r="K136" s="204">
        <f t="shared" si="164"/>
        <v>1258.8000000000002</v>
      </c>
      <c r="L136" s="201"/>
      <c r="M136" s="718"/>
      <c r="N136" s="703"/>
      <c r="O136" s="718"/>
      <c r="P136" s="703"/>
      <c r="Q136" s="703"/>
      <c r="R136" s="199">
        <f t="shared" si="180"/>
        <v>7552.8</v>
      </c>
      <c r="S136" s="199">
        <v>1</v>
      </c>
      <c r="T136" s="199"/>
      <c r="U136" s="703"/>
      <c r="V136" s="718"/>
      <c r="W136" s="703"/>
      <c r="X136" s="718">
        <v>20</v>
      </c>
      <c r="Y136" s="737">
        <v>0.3</v>
      </c>
      <c r="Z136" s="199">
        <f t="shared" si="165"/>
        <v>2265.84</v>
      </c>
      <c r="AA136" s="199"/>
      <c r="AB136" s="199">
        <f>(R136+Z136)*S136</f>
        <v>9818.64</v>
      </c>
      <c r="AC136" s="738">
        <f>AF136</f>
        <v>10181.36</v>
      </c>
      <c r="AD136" s="738">
        <f>AB136+AC136</f>
        <v>20000</v>
      </c>
      <c r="AE136" s="202">
        <f>20000*S136</f>
        <v>20000</v>
      </c>
      <c r="AF136" s="202">
        <f>AE136-AB136</f>
        <v>10181.36</v>
      </c>
      <c r="AG136" s="738">
        <f>7100*T136</f>
        <v>0</v>
      </c>
      <c r="AH136" s="202">
        <f t="shared" si="169"/>
        <v>9818.64</v>
      </c>
      <c r="AI136" s="203">
        <f>G136*S136</f>
        <v>6294</v>
      </c>
      <c r="AJ136" s="203">
        <f>G136*T136</f>
        <v>0</v>
      </c>
      <c r="AK136" s="203">
        <f t="shared" si="172"/>
        <v>7552.8</v>
      </c>
      <c r="AL136" s="203">
        <f t="shared" si="181"/>
        <v>0</v>
      </c>
      <c r="AM136" s="203">
        <f t="shared" si="173"/>
        <v>1258.8000000000002</v>
      </c>
      <c r="AN136" s="203">
        <f t="shared" si="173"/>
        <v>0</v>
      </c>
      <c r="AO136" s="205">
        <f t="shared" si="174"/>
        <v>2265.84</v>
      </c>
      <c r="AP136" s="205">
        <f t="shared" si="175"/>
        <v>0</v>
      </c>
      <c r="AQ136" s="205">
        <f t="shared" si="176"/>
        <v>0</v>
      </c>
      <c r="AR136" s="205">
        <f t="shared" si="177"/>
        <v>0</v>
      </c>
      <c r="AS136" s="205">
        <f t="shared" si="178"/>
        <v>0</v>
      </c>
      <c r="AT136" s="209">
        <f t="shared" si="115"/>
        <v>7552.8</v>
      </c>
      <c r="AU136" s="209">
        <f t="shared" si="115"/>
        <v>0</v>
      </c>
      <c r="AV136" s="203"/>
      <c r="AW136" s="251">
        <f>R136*S136</f>
        <v>7552.8</v>
      </c>
      <c r="AX136" s="251"/>
      <c r="AY136" s="838">
        <f t="shared" si="179"/>
        <v>7552.8</v>
      </c>
      <c r="AZ136" s="838"/>
      <c r="BA136" s="839"/>
    </row>
    <row r="137" spans="2:53" s="76" customFormat="1" hidden="1">
      <c r="B137" s="703"/>
      <c r="C137" s="197"/>
      <c r="D137" s="198"/>
      <c r="E137" s="703"/>
      <c r="F137" s="703"/>
      <c r="G137" s="199"/>
      <c r="H137" s="718"/>
      <c r="I137" s="703"/>
      <c r="J137" s="737">
        <v>0.2</v>
      </c>
      <c r="K137" s="204">
        <f t="shared" si="164"/>
        <v>0</v>
      </c>
      <c r="L137" s="201"/>
      <c r="M137" s="718"/>
      <c r="N137" s="703"/>
      <c r="O137" s="718"/>
      <c r="P137" s="703"/>
      <c r="Q137" s="703"/>
      <c r="R137" s="199">
        <f t="shared" si="180"/>
        <v>0</v>
      </c>
      <c r="S137" s="199"/>
      <c r="T137" s="199"/>
      <c r="U137" s="703"/>
      <c r="V137" s="718"/>
      <c r="W137" s="703"/>
      <c r="X137" s="718"/>
      <c r="Y137" s="737">
        <v>0</v>
      </c>
      <c r="Z137" s="199">
        <f t="shared" si="165"/>
        <v>0</v>
      </c>
      <c r="AA137" s="199"/>
      <c r="AB137" s="199">
        <f>(R137+Z137)*S137</f>
        <v>0</v>
      </c>
      <c r="AC137" s="738">
        <f>AF137</f>
        <v>0</v>
      </c>
      <c r="AD137" s="738">
        <f>AB137+AC137</f>
        <v>0</v>
      </c>
      <c r="AE137" s="202">
        <f>20000*S137</f>
        <v>0</v>
      </c>
      <c r="AF137" s="202">
        <f>AE137-AB137</f>
        <v>0</v>
      </c>
      <c r="AG137" s="738">
        <f>7100*S137</f>
        <v>0</v>
      </c>
      <c r="AH137" s="202">
        <f t="shared" si="169"/>
        <v>0</v>
      </c>
      <c r="AI137" s="203">
        <f>G137*S137</f>
        <v>0</v>
      </c>
      <c r="AJ137" s="203">
        <f>G137*T137</f>
        <v>0</v>
      </c>
      <c r="AK137" s="203">
        <f t="shared" si="172"/>
        <v>0</v>
      </c>
      <c r="AL137" s="203">
        <f t="shared" si="181"/>
        <v>0</v>
      </c>
      <c r="AM137" s="203">
        <f t="shared" si="173"/>
        <v>0</v>
      </c>
      <c r="AN137" s="203">
        <f t="shared" si="173"/>
        <v>0</v>
      </c>
      <c r="AO137" s="205">
        <f t="shared" si="174"/>
        <v>0</v>
      </c>
      <c r="AP137" s="205">
        <f t="shared" si="175"/>
        <v>0</v>
      </c>
      <c r="AQ137" s="205">
        <f t="shared" si="176"/>
        <v>0</v>
      </c>
      <c r="AR137" s="205">
        <f t="shared" si="177"/>
        <v>0</v>
      </c>
      <c r="AS137" s="205">
        <f t="shared" si="178"/>
        <v>0</v>
      </c>
      <c r="AT137" s="209">
        <f t="shared" si="115"/>
        <v>0</v>
      </c>
      <c r="AU137" s="209">
        <f t="shared" si="115"/>
        <v>0</v>
      </c>
      <c r="AV137" s="203"/>
      <c r="AW137" s="251">
        <f>R137*S137</f>
        <v>0</v>
      </c>
      <c r="AX137" s="251"/>
      <c r="AY137" s="838">
        <f t="shared" si="179"/>
        <v>0</v>
      </c>
      <c r="AZ137" s="838"/>
      <c r="BA137" s="839"/>
    </row>
    <row r="138" spans="2:53" s="76" customFormat="1" ht="58.5">
      <c r="B138" s="703">
        <f>B136+1</f>
        <v>100</v>
      </c>
      <c r="C138" s="197" t="s">
        <v>1353</v>
      </c>
      <c r="D138" s="198" t="s">
        <v>1354</v>
      </c>
      <c r="E138" s="703" t="s">
        <v>1355</v>
      </c>
      <c r="F138" s="703">
        <v>13</v>
      </c>
      <c r="G138" s="199">
        <v>7253</v>
      </c>
      <c r="H138" s="718"/>
      <c r="I138" s="703"/>
      <c r="J138" s="718"/>
      <c r="K138" s="703"/>
      <c r="L138" s="703"/>
      <c r="M138" s="718"/>
      <c r="N138" s="222"/>
      <c r="O138" s="737">
        <v>0.15</v>
      </c>
      <c r="P138" s="204">
        <f>G138*O138</f>
        <v>1087.95</v>
      </c>
      <c r="Q138" s="201"/>
      <c r="R138" s="199">
        <f t="shared" si="180"/>
        <v>8340.9500000000007</v>
      </c>
      <c r="S138" s="199"/>
      <c r="T138" s="199">
        <v>0.5</v>
      </c>
      <c r="U138" s="703"/>
      <c r="V138" s="718"/>
      <c r="W138" s="703"/>
      <c r="X138" s="718">
        <v>10</v>
      </c>
      <c r="Y138" s="737">
        <v>0.2</v>
      </c>
      <c r="Z138" s="199">
        <f t="shared" si="165"/>
        <v>1668.1900000000003</v>
      </c>
      <c r="AA138" s="199"/>
      <c r="AB138" s="199">
        <f>(R138+Z138)*T138</f>
        <v>5004.5700000000006</v>
      </c>
      <c r="AC138" s="738">
        <f t="shared" si="166"/>
        <v>4995.4299999999994</v>
      </c>
      <c r="AD138" s="738">
        <f t="shared" si="167"/>
        <v>10000</v>
      </c>
      <c r="AE138" s="202">
        <f>20000*T138</f>
        <v>10000</v>
      </c>
      <c r="AF138" s="202">
        <f t="shared" si="168"/>
        <v>4995.4299999999994</v>
      </c>
      <c r="AG138" s="738">
        <f>7100*T138</f>
        <v>3550</v>
      </c>
      <c r="AH138" s="202">
        <f t="shared" si="169"/>
        <v>1454.5700000000006</v>
      </c>
      <c r="AI138" s="203">
        <f t="shared" si="170"/>
        <v>0</v>
      </c>
      <c r="AJ138" s="203">
        <f t="shared" si="171"/>
        <v>3626.5</v>
      </c>
      <c r="AK138" s="203">
        <f t="shared" si="172"/>
        <v>0</v>
      </c>
      <c r="AL138" s="203">
        <f t="shared" si="181"/>
        <v>4170.4750000000004</v>
      </c>
      <c r="AM138" s="203">
        <f t="shared" si="173"/>
        <v>0</v>
      </c>
      <c r="AN138" s="203">
        <f t="shared" si="173"/>
        <v>543.97500000000036</v>
      </c>
      <c r="AO138" s="205">
        <f t="shared" si="174"/>
        <v>0</v>
      </c>
      <c r="AP138" s="205">
        <f t="shared" si="175"/>
        <v>834.09500000000014</v>
      </c>
      <c r="AQ138" s="205">
        <f t="shared" si="176"/>
        <v>0</v>
      </c>
      <c r="AR138" s="205">
        <f t="shared" si="177"/>
        <v>0</v>
      </c>
      <c r="AS138" s="205">
        <f t="shared" si="178"/>
        <v>0</v>
      </c>
      <c r="AT138" s="209">
        <f t="shared" si="115"/>
        <v>0</v>
      </c>
      <c r="AU138" s="209">
        <f t="shared" si="115"/>
        <v>4170.4750000000004</v>
      </c>
      <c r="AV138" s="203"/>
      <c r="AW138" s="251">
        <f>R138*T138</f>
        <v>4170.4750000000004</v>
      </c>
      <c r="AX138" s="251"/>
      <c r="AY138" s="838">
        <f t="shared" si="179"/>
        <v>4170.4750000000004</v>
      </c>
      <c r="AZ138" s="838"/>
      <c r="BA138" s="839"/>
    </row>
    <row r="139" spans="2:53" s="76" customFormat="1" ht="58.5">
      <c r="B139" s="703">
        <f t="shared" si="114"/>
        <v>101</v>
      </c>
      <c r="C139" s="197" t="s">
        <v>1023</v>
      </c>
      <c r="D139" s="198" t="s">
        <v>170</v>
      </c>
      <c r="E139" s="703" t="s">
        <v>1356</v>
      </c>
      <c r="F139" s="703">
        <v>13</v>
      </c>
      <c r="G139" s="199">
        <v>7253</v>
      </c>
      <c r="H139" s="718"/>
      <c r="I139" s="703"/>
      <c r="J139" s="718"/>
      <c r="K139" s="703"/>
      <c r="L139" s="703"/>
      <c r="M139" s="718"/>
      <c r="N139" s="222"/>
      <c r="O139" s="737">
        <v>0.15</v>
      </c>
      <c r="P139" s="204">
        <f>G139*O139</f>
        <v>1087.95</v>
      </c>
      <c r="Q139" s="201"/>
      <c r="R139" s="199">
        <f t="shared" si="180"/>
        <v>8340.9500000000007</v>
      </c>
      <c r="S139" s="199"/>
      <c r="T139" s="199">
        <v>0.5</v>
      </c>
      <c r="U139" s="703"/>
      <c r="V139" s="718"/>
      <c r="W139" s="703"/>
      <c r="X139" s="718">
        <v>41</v>
      </c>
      <c r="Y139" s="737">
        <v>0.3</v>
      </c>
      <c r="Z139" s="199">
        <f t="shared" si="165"/>
        <v>2502.2850000000003</v>
      </c>
      <c r="AA139" s="199"/>
      <c r="AB139" s="199">
        <f>(R139+Z139)*T139</f>
        <v>5421.6175000000003</v>
      </c>
      <c r="AC139" s="738">
        <f t="shared" si="166"/>
        <v>4578.3824999999997</v>
      </c>
      <c r="AD139" s="738">
        <f t="shared" si="167"/>
        <v>10000</v>
      </c>
      <c r="AE139" s="202">
        <f>20000*T139</f>
        <v>10000</v>
      </c>
      <c r="AF139" s="202">
        <f t="shared" si="168"/>
        <v>4578.3824999999997</v>
      </c>
      <c r="AG139" s="738">
        <f>7100*T139</f>
        <v>3550</v>
      </c>
      <c r="AH139" s="202">
        <f t="shared" si="169"/>
        <v>1871.6175000000003</v>
      </c>
      <c r="AI139" s="203">
        <f t="shared" si="170"/>
        <v>0</v>
      </c>
      <c r="AJ139" s="203">
        <f t="shared" si="171"/>
        <v>3626.5</v>
      </c>
      <c r="AK139" s="203">
        <f t="shared" si="172"/>
        <v>0</v>
      </c>
      <c r="AL139" s="203">
        <f t="shared" si="181"/>
        <v>4170.4750000000004</v>
      </c>
      <c r="AM139" s="203">
        <f t="shared" si="173"/>
        <v>0</v>
      </c>
      <c r="AN139" s="203">
        <f t="shared" si="173"/>
        <v>543.97500000000036</v>
      </c>
      <c r="AO139" s="205">
        <f t="shared" si="174"/>
        <v>0</v>
      </c>
      <c r="AP139" s="205">
        <f t="shared" si="175"/>
        <v>1251.1425000000002</v>
      </c>
      <c r="AQ139" s="205">
        <f t="shared" si="176"/>
        <v>0</v>
      </c>
      <c r="AR139" s="205">
        <f t="shared" si="177"/>
        <v>0</v>
      </c>
      <c r="AS139" s="205">
        <f t="shared" si="178"/>
        <v>0</v>
      </c>
      <c r="AT139" s="209">
        <f t="shared" si="115"/>
        <v>0</v>
      </c>
      <c r="AU139" s="209">
        <f t="shared" si="115"/>
        <v>4170.4750000000004</v>
      </c>
      <c r="AV139" s="203"/>
      <c r="AW139" s="251">
        <f>R139*T139</f>
        <v>4170.4750000000004</v>
      </c>
      <c r="AX139" s="251"/>
      <c r="AY139" s="838">
        <f t="shared" si="179"/>
        <v>4170.4750000000004</v>
      </c>
      <c r="AZ139" s="838"/>
      <c r="BA139" s="839"/>
    </row>
    <row r="140" spans="2:53" s="76" customFormat="1">
      <c r="B140" s="703"/>
      <c r="C140" s="180" t="s">
        <v>1736</v>
      </c>
      <c r="D140" s="207"/>
      <c r="E140" s="193"/>
      <c r="F140" s="193"/>
      <c r="G140" s="183">
        <f>SUM(G131:G139)</f>
        <v>57063</v>
      </c>
      <c r="H140" s="752"/>
      <c r="I140" s="183">
        <f>SUM(I131:I139)</f>
        <v>1546.4</v>
      </c>
      <c r="J140" s="752"/>
      <c r="K140" s="185">
        <f>SUM(K131:K139)</f>
        <v>12222.759999999998</v>
      </c>
      <c r="L140" s="183"/>
      <c r="M140" s="752"/>
      <c r="N140" s="183"/>
      <c r="O140" s="752"/>
      <c r="P140" s="183">
        <f>SUM(P131:P139)</f>
        <v>2175.9</v>
      </c>
      <c r="Q140" s="183"/>
      <c r="R140" s="183">
        <f>SUM(R131:R139)</f>
        <v>73008.06</v>
      </c>
      <c r="S140" s="183">
        <f>SUM(S131:S139)</f>
        <v>3</v>
      </c>
      <c r="T140" s="183">
        <f>SUM(T131:T139)</f>
        <v>2</v>
      </c>
      <c r="U140" s="183"/>
      <c r="V140" s="742"/>
      <c r="W140" s="183"/>
      <c r="X140" s="742"/>
      <c r="Y140" s="742"/>
      <c r="Z140" s="183">
        <f t="shared" ref="Z140:AV140" si="182">SUM(Z131:Z139)</f>
        <v>17061.883000000002</v>
      </c>
      <c r="AA140" s="183">
        <f t="shared" si="182"/>
        <v>0</v>
      </c>
      <c r="AB140" s="183">
        <f t="shared" si="182"/>
        <v>56942.235500000003</v>
      </c>
      <c r="AC140" s="183">
        <f t="shared" si="182"/>
        <v>43057.764499999997</v>
      </c>
      <c r="AD140" s="183">
        <f>SUM(AD131:AD139)</f>
        <v>100000</v>
      </c>
      <c r="AE140" s="183">
        <f t="shared" si="182"/>
        <v>100000</v>
      </c>
      <c r="AF140" s="183">
        <f t="shared" si="182"/>
        <v>43057.764499999997</v>
      </c>
      <c r="AG140" s="183">
        <f>SUM(AG131:AG139)</f>
        <v>28400</v>
      </c>
      <c r="AH140" s="183">
        <f t="shared" si="182"/>
        <v>28542.235500000003</v>
      </c>
      <c r="AI140" s="183">
        <f t="shared" si="182"/>
        <v>20320</v>
      </c>
      <c r="AJ140" s="183">
        <f t="shared" si="182"/>
        <v>14745.25</v>
      </c>
      <c r="AK140" s="183">
        <f t="shared" si="182"/>
        <v>28095.360000000001</v>
      </c>
      <c r="AL140" s="183">
        <f t="shared" si="182"/>
        <v>18104.849999999999</v>
      </c>
      <c r="AM140" s="183">
        <f t="shared" si="182"/>
        <v>7775.3600000000006</v>
      </c>
      <c r="AN140" s="183">
        <f t="shared" si="182"/>
        <v>3359.6000000000004</v>
      </c>
      <c r="AO140" s="183">
        <f t="shared" si="182"/>
        <v>6162.768</v>
      </c>
      <c r="AP140" s="183">
        <f t="shared" si="182"/>
        <v>4579.2575000000006</v>
      </c>
      <c r="AQ140" s="183">
        <f t="shared" si="182"/>
        <v>0</v>
      </c>
      <c r="AR140" s="183">
        <f t="shared" si="182"/>
        <v>0</v>
      </c>
      <c r="AS140" s="183">
        <f t="shared" si="182"/>
        <v>0</v>
      </c>
      <c r="AT140" s="183">
        <f t="shared" si="182"/>
        <v>28095.360000000001</v>
      </c>
      <c r="AU140" s="183">
        <f t="shared" si="182"/>
        <v>18104.849999999999</v>
      </c>
      <c r="AV140" s="183">
        <f t="shared" si="182"/>
        <v>0</v>
      </c>
      <c r="AW140" s="183">
        <f>SUM(AW131:AW139)</f>
        <v>46200.21</v>
      </c>
      <c r="AX140" s="251"/>
      <c r="AY140" s="839"/>
      <c r="AZ140" s="838"/>
      <c r="BA140" s="839"/>
    </row>
    <row r="141" spans="2:53" s="76" customFormat="1">
      <c r="B141" s="703"/>
      <c r="C141" s="220" t="s">
        <v>1581</v>
      </c>
      <c r="D141" s="217"/>
      <c r="E141" s="218"/>
      <c r="F141" s="218"/>
      <c r="G141" s="218"/>
      <c r="H141" s="745"/>
      <c r="I141" s="218"/>
      <c r="J141" s="745"/>
      <c r="K141" s="218"/>
      <c r="L141" s="218"/>
      <c r="M141" s="745"/>
      <c r="N141" s="218"/>
      <c r="O141" s="745"/>
      <c r="P141" s="218"/>
      <c r="Q141" s="218"/>
      <c r="R141" s="218"/>
      <c r="S141" s="218"/>
      <c r="T141" s="218"/>
      <c r="U141" s="218"/>
      <c r="V141" s="746"/>
      <c r="W141" s="218"/>
      <c r="X141" s="746"/>
      <c r="Y141" s="746"/>
      <c r="Z141" s="218"/>
      <c r="AA141" s="218"/>
      <c r="AB141" s="218"/>
      <c r="AC141" s="219"/>
      <c r="AD141" s="219"/>
      <c r="AE141" s="219"/>
      <c r="AF141" s="219"/>
      <c r="AG141" s="219"/>
      <c r="AH141" s="219"/>
      <c r="AI141" s="203"/>
      <c r="AJ141" s="203"/>
      <c r="AK141" s="203"/>
      <c r="AL141" s="203"/>
      <c r="AM141" s="203"/>
      <c r="AN141" s="203"/>
      <c r="AO141" s="205"/>
      <c r="AP141" s="205"/>
      <c r="AQ141" s="205"/>
      <c r="AR141" s="205"/>
      <c r="AS141" s="205"/>
      <c r="AT141" s="209"/>
      <c r="AU141" s="209"/>
      <c r="AV141" s="203"/>
      <c r="AW141" s="251"/>
      <c r="AX141" s="251"/>
      <c r="AY141" s="839"/>
      <c r="AZ141" s="838"/>
      <c r="BA141" s="839"/>
    </row>
    <row r="142" spans="2:53" s="76" customFormat="1" ht="63">
      <c r="B142" s="703">
        <f>B139+1</f>
        <v>102</v>
      </c>
      <c r="C142" s="197" t="s">
        <v>1080</v>
      </c>
      <c r="D142" s="198" t="s">
        <v>1081</v>
      </c>
      <c r="E142" s="703" t="s">
        <v>1082</v>
      </c>
      <c r="F142" s="703">
        <v>10</v>
      </c>
      <c r="G142" s="199">
        <v>5815</v>
      </c>
      <c r="H142" s="737">
        <v>0.1</v>
      </c>
      <c r="I142" s="703">
        <f>G142*H142</f>
        <v>581.5</v>
      </c>
      <c r="J142" s="741"/>
      <c r="K142" s="206"/>
      <c r="L142" s="206"/>
      <c r="M142" s="741"/>
      <c r="N142" s="206"/>
      <c r="O142" s="741"/>
      <c r="P142" s="206"/>
      <c r="Q142" s="206"/>
      <c r="R142" s="199">
        <f>G142+I142+K142+L142+N142+P142+Q142</f>
        <v>6396.5</v>
      </c>
      <c r="S142" s="199">
        <v>1</v>
      </c>
      <c r="T142" s="206"/>
      <c r="U142" s="206"/>
      <c r="V142" s="741"/>
      <c r="W142" s="206"/>
      <c r="X142" s="718">
        <v>24</v>
      </c>
      <c r="Y142" s="737">
        <v>0.3</v>
      </c>
      <c r="Z142" s="199">
        <f>R142*Y142</f>
        <v>1918.9499999999998</v>
      </c>
      <c r="AA142" s="199"/>
      <c r="AB142" s="199">
        <f>(R142+Z142)*S142</f>
        <v>8315.4500000000007</v>
      </c>
      <c r="AC142" s="738">
        <f t="shared" ref="AC142:AC151" si="183">AF142</f>
        <v>5184.5499999999993</v>
      </c>
      <c r="AD142" s="738">
        <f t="shared" ref="AD142:AD151" si="184">AB142+AC142</f>
        <v>13500</v>
      </c>
      <c r="AE142" s="202">
        <f t="shared" ref="AE142:AE151" si="185">13500*S142</f>
        <v>13500</v>
      </c>
      <c r="AF142" s="202">
        <f t="shared" ref="AF142:AF151" si="186">AE142-AB142</f>
        <v>5184.5499999999993</v>
      </c>
      <c r="AG142" s="738">
        <f t="shared" ref="AG142:AG151" si="187">7100*S142</f>
        <v>7100</v>
      </c>
      <c r="AH142" s="202"/>
      <c r="AI142" s="203">
        <f t="shared" ref="AI142:AI151" si="188">G142*S142</f>
        <v>5815</v>
      </c>
      <c r="AJ142" s="203">
        <f t="shared" ref="AJ142:AJ151" si="189">G142*T142</f>
        <v>0</v>
      </c>
      <c r="AK142" s="203">
        <f t="shared" ref="AK142:AK151" si="190">R142*S142</f>
        <v>6396.5</v>
      </c>
      <c r="AL142" s="203">
        <f>R142*T142</f>
        <v>0</v>
      </c>
      <c r="AM142" s="203">
        <f t="shared" ref="AM142:AN151" si="191">AK142-AI142</f>
        <v>581.5</v>
      </c>
      <c r="AN142" s="203">
        <f t="shared" si="191"/>
        <v>0</v>
      </c>
      <c r="AO142" s="205">
        <f t="shared" ref="AO142:AO151" si="192">Z142*S142</f>
        <v>1918.9499999999998</v>
      </c>
      <c r="AP142" s="205">
        <f t="shared" ref="AP142:AP151" si="193">Z142*T142</f>
        <v>0</v>
      </c>
      <c r="AQ142" s="205">
        <f t="shared" ref="AQ142:AQ151" si="194">AA142</f>
        <v>0</v>
      </c>
      <c r="AR142" s="205">
        <f t="shared" ref="AR142:AR151" si="195">W142*S142</f>
        <v>0</v>
      </c>
      <c r="AS142" s="205">
        <f t="shared" ref="AS142:AS151" si="196">W142*T142</f>
        <v>0</v>
      </c>
      <c r="AT142" s="209">
        <f t="shared" si="115"/>
        <v>6396.5</v>
      </c>
      <c r="AU142" s="209">
        <f t="shared" si="115"/>
        <v>0</v>
      </c>
      <c r="AV142" s="203"/>
      <c r="AW142" s="251">
        <f>R142*S142</f>
        <v>6396.5</v>
      </c>
      <c r="AX142" s="251"/>
      <c r="AY142" s="838">
        <f t="shared" ref="AY142:AY151" si="197">AW142</f>
        <v>6396.5</v>
      </c>
      <c r="AZ142" s="838"/>
      <c r="BA142" s="839"/>
    </row>
    <row r="143" spans="2:53" s="76" customFormat="1" ht="58.5">
      <c r="B143" s="703">
        <f t="shared" ref="B143:B206" si="198">1+B142</f>
        <v>103</v>
      </c>
      <c r="C143" s="197" t="s">
        <v>1068</v>
      </c>
      <c r="D143" s="198" t="s">
        <v>1083</v>
      </c>
      <c r="E143" s="703" t="s">
        <v>1084</v>
      </c>
      <c r="F143" s="703">
        <v>10</v>
      </c>
      <c r="G143" s="199">
        <v>5815</v>
      </c>
      <c r="H143" s="736"/>
      <c r="I143" s="199"/>
      <c r="J143" s="737"/>
      <c r="K143" s="201"/>
      <c r="L143" s="201"/>
      <c r="M143" s="736"/>
      <c r="N143" s="199"/>
      <c r="O143" s="736"/>
      <c r="P143" s="206"/>
      <c r="Q143" s="206"/>
      <c r="R143" s="199">
        <f t="shared" ref="R143:R151" si="199">G143+I143+K143+L143+N143+P143+Q143</f>
        <v>5815</v>
      </c>
      <c r="S143" s="199">
        <v>1</v>
      </c>
      <c r="T143" s="199"/>
      <c r="U143" s="206"/>
      <c r="V143" s="741"/>
      <c r="W143" s="206"/>
      <c r="X143" s="718">
        <v>41</v>
      </c>
      <c r="Y143" s="737">
        <v>0.3</v>
      </c>
      <c r="Z143" s="199">
        <f t="shared" ref="Z143:Z151" si="200">R143*Y143</f>
        <v>1744.5</v>
      </c>
      <c r="AA143" s="199"/>
      <c r="AB143" s="199">
        <f>(R143+Z143)*S143</f>
        <v>7559.5</v>
      </c>
      <c r="AC143" s="738">
        <f t="shared" si="183"/>
        <v>5940.5</v>
      </c>
      <c r="AD143" s="738">
        <f t="shared" si="184"/>
        <v>13500</v>
      </c>
      <c r="AE143" s="202">
        <f t="shared" si="185"/>
        <v>13500</v>
      </c>
      <c r="AF143" s="202">
        <f t="shared" si="186"/>
        <v>5940.5</v>
      </c>
      <c r="AG143" s="738">
        <f t="shared" si="187"/>
        <v>7100</v>
      </c>
      <c r="AH143" s="202"/>
      <c r="AI143" s="203">
        <f t="shared" si="188"/>
        <v>5815</v>
      </c>
      <c r="AJ143" s="203">
        <f t="shared" si="189"/>
        <v>0</v>
      </c>
      <c r="AK143" s="203">
        <f t="shared" si="190"/>
        <v>5815</v>
      </c>
      <c r="AL143" s="203">
        <f t="shared" ref="AL143:AL151" si="201">R143*T143</f>
        <v>0</v>
      </c>
      <c r="AM143" s="203">
        <f t="shared" si="191"/>
        <v>0</v>
      </c>
      <c r="AN143" s="203">
        <f t="shared" si="191"/>
        <v>0</v>
      </c>
      <c r="AO143" s="205">
        <f t="shared" si="192"/>
        <v>1744.5</v>
      </c>
      <c r="AP143" s="205">
        <f t="shared" si="193"/>
        <v>0</v>
      </c>
      <c r="AQ143" s="205">
        <f t="shared" si="194"/>
        <v>0</v>
      </c>
      <c r="AR143" s="205">
        <f t="shared" si="195"/>
        <v>0</v>
      </c>
      <c r="AS143" s="205">
        <f t="shared" si="196"/>
        <v>0</v>
      </c>
      <c r="AT143" s="209">
        <f t="shared" si="115"/>
        <v>5815</v>
      </c>
      <c r="AU143" s="209">
        <f t="shared" si="115"/>
        <v>0</v>
      </c>
      <c r="AV143" s="203"/>
      <c r="AW143" s="251">
        <f t="shared" ref="AW143:AW151" si="202">R143*S143</f>
        <v>5815</v>
      </c>
      <c r="AX143" s="251"/>
      <c r="AY143" s="838">
        <f t="shared" si="197"/>
        <v>5815</v>
      </c>
      <c r="AZ143" s="838"/>
      <c r="BA143" s="839"/>
    </row>
    <row r="144" spans="2:53" s="76" customFormat="1" ht="58.5">
      <c r="B144" s="703">
        <f t="shared" si="198"/>
        <v>104</v>
      </c>
      <c r="C144" s="197" t="s">
        <v>1068</v>
      </c>
      <c r="D144" s="198" t="s">
        <v>1085</v>
      </c>
      <c r="E144" s="703" t="s">
        <v>1086</v>
      </c>
      <c r="F144" s="703">
        <v>10</v>
      </c>
      <c r="G144" s="199">
        <v>5815</v>
      </c>
      <c r="H144" s="736"/>
      <c r="I144" s="199"/>
      <c r="J144" s="736"/>
      <c r="K144" s="199"/>
      <c r="L144" s="199"/>
      <c r="M144" s="736"/>
      <c r="N144" s="199"/>
      <c r="O144" s="736"/>
      <c r="P144" s="199"/>
      <c r="Q144" s="199"/>
      <c r="R144" s="199">
        <f t="shared" si="199"/>
        <v>5815</v>
      </c>
      <c r="S144" s="199">
        <v>1</v>
      </c>
      <c r="T144" s="199"/>
      <c r="U144" s="199"/>
      <c r="V144" s="736"/>
      <c r="W144" s="199"/>
      <c r="X144" s="718">
        <v>31</v>
      </c>
      <c r="Y144" s="737">
        <v>0.3</v>
      </c>
      <c r="Z144" s="199">
        <f t="shared" si="200"/>
        <v>1744.5</v>
      </c>
      <c r="AA144" s="199"/>
      <c r="AB144" s="199">
        <f>(R144+Z144)*S144</f>
        <v>7559.5</v>
      </c>
      <c r="AC144" s="738">
        <f t="shared" si="183"/>
        <v>5940.5</v>
      </c>
      <c r="AD144" s="738">
        <f t="shared" si="184"/>
        <v>13500</v>
      </c>
      <c r="AE144" s="202">
        <f t="shared" si="185"/>
        <v>13500</v>
      </c>
      <c r="AF144" s="202">
        <f t="shared" si="186"/>
        <v>5940.5</v>
      </c>
      <c r="AG144" s="738">
        <f t="shared" si="187"/>
        <v>7100</v>
      </c>
      <c r="AH144" s="202"/>
      <c r="AI144" s="203">
        <f t="shared" si="188"/>
        <v>5815</v>
      </c>
      <c r="AJ144" s="203">
        <f t="shared" si="189"/>
        <v>0</v>
      </c>
      <c r="AK144" s="203">
        <f t="shared" si="190"/>
        <v>5815</v>
      </c>
      <c r="AL144" s="203">
        <f t="shared" si="201"/>
        <v>0</v>
      </c>
      <c r="AM144" s="203">
        <f t="shared" si="191"/>
        <v>0</v>
      </c>
      <c r="AN144" s="203">
        <f t="shared" si="191"/>
        <v>0</v>
      </c>
      <c r="AO144" s="205">
        <f t="shared" si="192"/>
        <v>1744.5</v>
      </c>
      <c r="AP144" s="205">
        <f t="shared" si="193"/>
        <v>0</v>
      </c>
      <c r="AQ144" s="205">
        <f t="shared" si="194"/>
        <v>0</v>
      </c>
      <c r="AR144" s="205">
        <f t="shared" si="195"/>
        <v>0</v>
      </c>
      <c r="AS144" s="205">
        <f t="shared" si="196"/>
        <v>0</v>
      </c>
      <c r="AT144" s="209">
        <f t="shared" si="115"/>
        <v>5815</v>
      </c>
      <c r="AU144" s="209">
        <f t="shared" si="115"/>
        <v>0</v>
      </c>
      <c r="AV144" s="203"/>
      <c r="AW144" s="251">
        <f t="shared" si="202"/>
        <v>5815</v>
      </c>
      <c r="AX144" s="251"/>
      <c r="AY144" s="838">
        <f t="shared" si="197"/>
        <v>5815</v>
      </c>
      <c r="AZ144" s="838"/>
      <c r="BA144" s="839"/>
    </row>
    <row r="145" spans="2:53" s="76" customFormat="1" ht="58.5">
      <c r="B145" s="703">
        <f t="shared" si="198"/>
        <v>105</v>
      </c>
      <c r="C145" s="197" t="s">
        <v>1068</v>
      </c>
      <c r="D145" s="198" t="s">
        <v>1090</v>
      </c>
      <c r="E145" s="703" t="s">
        <v>1091</v>
      </c>
      <c r="F145" s="703">
        <v>10</v>
      </c>
      <c r="G145" s="199">
        <v>5815</v>
      </c>
      <c r="H145" s="736"/>
      <c r="I145" s="199"/>
      <c r="J145" s="736"/>
      <c r="K145" s="199"/>
      <c r="L145" s="199"/>
      <c r="M145" s="736"/>
      <c r="N145" s="199"/>
      <c r="O145" s="736"/>
      <c r="P145" s="199"/>
      <c r="Q145" s="206"/>
      <c r="R145" s="199">
        <f>G145+I145+K145+L145+N145+P145+Q145</f>
        <v>5815</v>
      </c>
      <c r="S145" s="199">
        <v>1</v>
      </c>
      <c r="T145" s="199"/>
      <c r="U145" s="206"/>
      <c r="V145" s="741"/>
      <c r="W145" s="206"/>
      <c r="X145" s="718">
        <v>16</v>
      </c>
      <c r="Y145" s="737">
        <v>0.2</v>
      </c>
      <c r="Z145" s="199">
        <f>R145*Y145</f>
        <v>1163</v>
      </c>
      <c r="AA145" s="199">
        <f>AH145</f>
        <v>122</v>
      </c>
      <c r="AB145" s="199">
        <f>(R145+Z145)*S145+AA145</f>
        <v>7100</v>
      </c>
      <c r="AC145" s="738">
        <f t="shared" si="183"/>
        <v>6400</v>
      </c>
      <c r="AD145" s="738">
        <f t="shared" si="184"/>
        <v>13500</v>
      </c>
      <c r="AE145" s="202">
        <f t="shared" si="185"/>
        <v>13500</v>
      </c>
      <c r="AF145" s="202">
        <f t="shared" si="186"/>
        <v>6400</v>
      </c>
      <c r="AG145" s="738">
        <f t="shared" si="187"/>
        <v>7100</v>
      </c>
      <c r="AH145" s="202">
        <f>AG145-(R145*S145)-Z145</f>
        <v>122</v>
      </c>
      <c r="AI145" s="203">
        <f t="shared" si="188"/>
        <v>5815</v>
      </c>
      <c r="AJ145" s="203">
        <f t="shared" si="189"/>
        <v>0</v>
      </c>
      <c r="AK145" s="203">
        <f t="shared" si="190"/>
        <v>5815</v>
      </c>
      <c r="AL145" s="203">
        <f t="shared" si="201"/>
        <v>0</v>
      </c>
      <c r="AM145" s="203">
        <f t="shared" si="191"/>
        <v>0</v>
      </c>
      <c r="AN145" s="203">
        <f t="shared" si="191"/>
        <v>0</v>
      </c>
      <c r="AO145" s="205">
        <f t="shared" si="192"/>
        <v>1163</v>
      </c>
      <c r="AP145" s="205">
        <f t="shared" si="193"/>
        <v>0</v>
      </c>
      <c r="AQ145" s="205">
        <f t="shared" si="194"/>
        <v>122</v>
      </c>
      <c r="AR145" s="205">
        <f t="shared" si="195"/>
        <v>0</v>
      </c>
      <c r="AS145" s="205">
        <f t="shared" si="196"/>
        <v>0</v>
      </c>
      <c r="AT145" s="209">
        <f t="shared" si="115"/>
        <v>5815</v>
      </c>
      <c r="AU145" s="209">
        <f t="shared" si="115"/>
        <v>0</v>
      </c>
      <c r="AV145" s="203"/>
      <c r="AW145" s="251">
        <f t="shared" si="202"/>
        <v>5815</v>
      </c>
      <c r="AX145" s="251"/>
      <c r="AY145" s="838">
        <f t="shared" si="197"/>
        <v>5815</v>
      </c>
      <c r="AZ145" s="838"/>
      <c r="BA145" s="839"/>
    </row>
    <row r="146" spans="2:53" s="76" customFormat="1" ht="58.5">
      <c r="B146" s="703">
        <f t="shared" si="198"/>
        <v>106</v>
      </c>
      <c r="C146" s="197" t="s">
        <v>1068</v>
      </c>
      <c r="D146" s="198" t="s">
        <v>1088</v>
      </c>
      <c r="E146" s="703" t="s">
        <v>1089</v>
      </c>
      <c r="F146" s="703">
        <v>10</v>
      </c>
      <c r="G146" s="199">
        <v>5815</v>
      </c>
      <c r="H146" s="736"/>
      <c r="I146" s="199"/>
      <c r="J146" s="736"/>
      <c r="K146" s="199"/>
      <c r="L146" s="199"/>
      <c r="M146" s="736"/>
      <c r="N146" s="199"/>
      <c r="O146" s="736"/>
      <c r="P146" s="199"/>
      <c r="Q146" s="199"/>
      <c r="R146" s="199">
        <f t="shared" si="199"/>
        <v>5815</v>
      </c>
      <c r="S146" s="199">
        <v>1</v>
      </c>
      <c r="T146" s="199"/>
      <c r="U146" s="199"/>
      <c r="V146" s="736"/>
      <c r="W146" s="199"/>
      <c r="X146" s="718">
        <v>28</v>
      </c>
      <c r="Y146" s="737">
        <v>0.3</v>
      </c>
      <c r="Z146" s="199">
        <f>R146*Y146</f>
        <v>1744.5</v>
      </c>
      <c r="AA146" s="199"/>
      <c r="AB146" s="199">
        <f>(R146+Z146)*S146</f>
        <v>7559.5</v>
      </c>
      <c r="AC146" s="738">
        <f t="shared" si="183"/>
        <v>5940.5</v>
      </c>
      <c r="AD146" s="738">
        <f t="shared" si="184"/>
        <v>13500</v>
      </c>
      <c r="AE146" s="202">
        <f t="shared" si="185"/>
        <v>13500</v>
      </c>
      <c r="AF146" s="202">
        <f t="shared" si="186"/>
        <v>5940.5</v>
      </c>
      <c r="AG146" s="738">
        <f t="shared" si="187"/>
        <v>7100</v>
      </c>
      <c r="AH146" s="202"/>
      <c r="AI146" s="203">
        <f t="shared" si="188"/>
        <v>5815</v>
      </c>
      <c r="AJ146" s="203">
        <f t="shared" si="189"/>
        <v>0</v>
      </c>
      <c r="AK146" s="203">
        <f t="shared" si="190"/>
        <v>5815</v>
      </c>
      <c r="AL146" s="203">
        <f t="shared" si="201"/>
        <v>0</v>
      </c>
      <c r="AM146" s="203">
        <f t="shared" si="191"/>
        <v>0</v>
      </c>
      <c r="AN146" s="203">
        <f t="shared" si="191"/>
        <v>0</v>
      </c>
      <c r="AO146" s="205">
        <f t="shared" si="192"/>
        <v>1744.5</v>
      </c>
      <c r="AP146" s="205">
        <f t="shared" si="193"/>
        <v>0</v>
      </c>
      <c r="AQ146" s="205">
        <f t="shared" si="194"/>
        <v>0</v>
      </c>
      <c r="AR146" s="205">
        <f t="shared" si="195"/>
        <v>0</v>
      </c>
      <c r="AS146" s="205">
        <f t="shared" si="196"/>
        <v>0</v>
      </c>
      <c r="AT146" s="209">
        <f t="shared" si="115"/>
        <v>5815</v>
      </c>
      <c r="AU146" s="209">
        <f t="shared" si="115"/>
        <v>0</v>
      </c>
      <c r="AV146" s="203"/>
      <c r="AW146" s="251">
        <f t="shared" si="202"/>
        <v>5815</v>
      </c>
      <c r="AX146" s="251"/>
      <c r="AY146" s="838">
        <f t="shared" si="197"/>
        <v>5815</v>
      </c>
      <c r="AZ146" s="838"/>
      <c r="BA146" s="839"/>
    </row>
    <row r="147" spans="2:53" s="76" customFormat="1" ht="87.75">
      <c r="B147" s="703">
        <f t="shared" si="198"/>
        <v>107</v>
      </c>
      <c r="C147" s="197" t="s">
        <v>1068</v>
      </c>
      <c r="D147" s="198" t="s">
        <v>171</v>
      </c>
      <c r="E147" s="703" t="s">
        <v>1087</v>
      </c>
      <c r="F147" s="703">
        <v>10</v>
      </c>
      <c r="G147" s="199">
        <v>5815</v>
      </c>
      <c r="H147" s="736"/>
      <c r="I147" s="199"/>
      <c r="J147" s="736"/>
      <c r="K147" s="199"/>
      <c r="L147" s="199"/>
      <c r="M147" s="736"/>
      <c r="N147" s="199"/>
      <c r="O147" s="736"/>
      <c r="P147" s="199"/>
      <c r="Q147" s="199"/>
      <c r="R147" s="199">
        <f t="shared" si="199"/>
        <v>5815</v>
      </c>
      <c r="S147" s="199">
        <v>1</v>
      </c>
      <c r="T147" s="199"/>
      <c r="U147" s="199"/>
      <c r="V147" s="736"/>
      <c r="W147" s="199"/>
      <c r="X147" s="718">
        <v>26</v>
      </c>
      <c r="Y147" s="737">
        <v>0.3</v>
      </c>
      <c r="Z147" s="199">
        <f t="shared" si="200"/>
        <v>1744.5</v>
      </c>
      <c r="AA147" s="199"/>
      <c r="AB147" s="199">
        <f>(R147+Z147)*S147</f>
        <v>7559.5</v>
      </c>
      <c r="AC147" s="738">
        <f t="shared" si="183"/>
        <v>5940.5</v>
      </c>
      <c r="AD147" s="738">
        <f>AB147+AC147</f>
        <v>13500</v>
      </c>
      <c r="AE147" s="202">
        <f t="shared" si="185"/>
        <v>13500</v>
      </c>
      <c r="AF147" s="202">
        <f t="shared" si="186"/>
        <v>5940.5</v>
      </c>
      <c r="AG147" s="738">
        <f t="shared" si="187"/>
        <v>7100</v>
      </c>
      <c r="AH147" s="202"/>
      <c r="AI147" s="203">
        <f t="shared" si="188"/>
        <v>5815</v>
      </c>
      <c r="AJ147" s="203">
        <f t="shared" si="189"/>
        <v>0</v>
      </c>
      <c r="AK147" s="203">
        <f t="shared" si="190"/>
        <v>5815</v>
      </c>
      <c r="AL147" s="203">
        <f t="shared" si="201"/>
        <v>0</v>
      </c>
      <c r="AM147" s="203">
        <f t="shared" si="191"/>
        <v>0</v>
      </c>
      <c r="AN147" s="203">
        <f t="shared" si="191"/>
        <v>0</v>
      </c>
      <c r="AO147" s="205">
        <f t="shared" si="192"/>
        <v>1744.5</v>
      </c>
      <c r="AP147" s="205">
        <f t="shared" si="193"/>
        <v>0</v>
      </c>
      <c r="AQ147" s="205">
        <f t="shared" si="194"/>
        <v>0</v>
      </c>
      <c r="AR147" s="205">
        <f t="shared" si="195"/>
        <v>0</v>
      </c>
      <c r="AS147" s="205">
        <f t="shared" si="196"/>
        <v>0</v>
      </c>
      <c r="AT147" s="209">
        <f t="shared" si="115"/>
        <v>5815</v>
      </c>
      <c r="AU147" s="209">
        <f t="shared" si="115"/>
        <v>0</v>
      </c>
      <c r="AV147" s="203"/>
      <c r="AW147" s="251">
        <f t="shared" si="202"/>
        <v>5815</v>
      </c>
      <c r="AX147" s="251"/>
      <c r="AY147" s="838">
        <f t="shared" si="197"/>
        <v>5815</v>
      </c>
      <c r="AZ147" s="838"/>
      <c r="BA147" s="839"/>
    </row>
    <row r="148" spans="2:53" s="76" customFormat="1" ht="63">
      <c r="B148" s="703">
        <f t="shared" si="198"/>
        <v>108</v>
      </c>
      <c r="C148" s="197" t="s">
        <v>1064</v>
      </c>
      <c r="D148" s="198" t="s">
        <v>172</v>
      </c>
      <c r="E148" s="703" t="s">
        <v>1092</v>
      </c>
      <c r="F148" s="703">
        <v>9</v>
      </c>
      <c r="G148" s="199">
        <v>5527</v>
      </c>
      <c r="H148" s="736"/>
      <c r="I148" s="199"/>
      <c r="J148" s="736"/>
      <c r="K148" s="199"/>
      <c r="L148" s="199"/>
      <c r="M148" s="736"/>
      <c r="N148" s="199"/>
      <c r="O148" s="736"/>
      <c r="P148" s="199"/>
      <c r="Q148" s="199"/>
      <c r="R148" s="199">
        <f t="shared" si="199"/>
        <v>5527</v>
      </c>
      <c r="S148" s="199">
        <v>1</v>
      </c>
      <c r="T148" s="199"/>
      <c r="U148" s="199"/>
      <c r="V148" s="736"/>
      <c r="W148" s="199"/>
      <c r="X148" s="718">
        <v>36</v>
      </c>
      <c r="Y148" s="737">
        <v>0.3</v>
      </c>
      <c r="Z148" s="199">
        <f>R148*Y148</f>
        <v>1658.1</v>
      </c>
      <c r="AA148" s="199"/>
      <c r="AB148" s="199">
        <f>(R148+Z148)*S148</f>
        <v>7185.1</v>
      </c>
      <c r="AC148" s="738">
        <f t="shared" si="183"/>
        <v>6314.9</v>
      </c>
      <c r="AD148" s="738">
        <f>AB148+AC148</f>
        <v>13500</v>
      </c>
      <c r="AE148" s="202">
        <f t="shared" si="185"/>
        <v>13500</v>
      </c>
      <c r="AF148" s="202">
        <f>AE148-AB148</f>
        <v>6314.9</v>
      </c>
      <c r="AG148" s="738">
        <f t="shared" si="187"/>
        <v>7100</v>
      </c>
      <c r="AH148" s="202"/>
      <c r="AI148" s="203">
        <f t="shared" si="188"/>
        <v>5527</v>
      </c>
      <c r="AJ148" s="203">
        <f t="shared" si="189"/>
        <v>0</v>
      </c>
      <c r="AK148" s="203">
        <f t="shared" si="190"/>
        <v>5527</v>
      </c>
      <c r="AL148" s="203">
        <f t="shared" si="201"/>
        <v>0</v>
      </c>
      <c r="AM148" s="203">
        <f t="shared" si="191"/>
        <v>0</v>
      </c>
      <c r="AN148" s="203">
        <f t="shared" si="191"/>
        <v>0</v>
      </c>
      <c r="AO148" s="205">
        <f t="shared" si="192"/>
        <v>1658.1</v>
      </c>
      <c r="AP148" s="205">
        <f t="shared" si="193"/>
        <v>0</v>
      </c>
      <c r="AQ148" s="205">
        <f t="shared" si="194"/>
        <v>0</v>
      </c>
      <c r="AR148" s="205">
        <f t="shared" si="195"/>
        <v>0</v>
      </c>
      <c r="AS148" s="205">
        <f t="shared" si="196"/>
        <v>0</v>
      </c>
      <c r="AT148" s="209">
        <f t="shared" si="115"/>
        <v>5527</v>
      </c>
      <c r="AU148" s="209">
        <f t="shared" si="115"/>
        <v>0</v>
      </c>
      <c r="AV148" s="203"/>
      <c r="AW148" s="251">
        <f t="shared" si="202"/>
        <v>5527</v>
      </c>
      <c r="AX148" s="251"/>
      <c r="AY148" s="838">
        <f t="shared" si="197"/>
        <v>5527</v>
      </c>
      <c r="AZ148" s="838"/>
      <c r="BA148" s="839"/>
    </row>
    <row r="149" spans="2:53" s="76" customFormat="1" ht="63">
      <c r="B149" s="703">
        <f t="shared" si="198"/>
        <v>109</v>
      </c>
      <c r="C149" s="197" t="s">
        <v>1064</v>
      </c>
      <c r="D149" s="212" t="s">
        <v>173</v>
      </c>
      <c r="E149" s="206" t="s">
        <v>1362</v>
      </c>
      <c r="F149" s="206">
        <v>10</v>
      </c>
      <c r="G149" s="199">
        <v>5815</v>
      </c>
      <c r="H149" s="736"/>
      <c r="I149" s="199"/>
      <c r="J149" s="736"/>
      <c r="K149" s="199"/>
      <c r="L149" s="199"/>
      <c r="M149" s="736"/>
      <c r="N149" s="199"/>
      <c r="O149" s="736"/>
      <c r="P149" s="199"/>
      <c r="Q149" s="199"/>
      <c r="R149" s="199">
        <f t="shared" si="199"/>
        <v>5815</v>
      </c>
      <c r="S149" s="199">
        <v>1</v>
      </c>
      <c r="T149" s="199"/>
      <c r="U149" s="199"/>
      <c r="V149" s="736"/>
      <c r="W149" s="199"/>
      <c r="X149" s="718">
        <v>22</v>
      </c>
      <c r="Y149" s="737">
        <v>0.3</v>
      </c>
      <c r="Z149" s="199">
        <f>R149*Y149</f>
        <v>1744.5</v>
      </c>
      <c r="AA149" s="199"/>
      <c r="AB149" s="199">
        <f>(R149+Z149)*S149+AA149</f>
        <v>7559.5</v>
      </c>
      <c r="AC149" s="738">
        <f t="shared" si="183"/>
        <v>5940.5</v>
      </c>
      <c r="AD149" s="738">
        <f t="shared" si="184"/>
        <v>13500</v>
      </c>
      <c r="AE149" s="202">
        <f t="shared" si="185"/>
        <v>13500</v>
      </c>
      <c r="AF149" s="202">
        <f t="shared" si="186"/>
        <v>5940.5</v>
      </c>
      <c r="AG149" s="738">
        <f t="shared" si="187"/>
        <v>7100</v>
      </c>
      <c r="AH149" s="202"/>
      <c r="AI149" s="203">
        <f t="shared" si="188"/>
        <v>5815</v>
      </c>
      <c r="AJ149" s="203">
        <f t="shared" si="189"/>
        <v>0</v>
      </c>
      <c r="AK149" s="203">
        <f t="shared" si="190"/>
        <v>5815</v>
      </c>
      <c r="AL149" s="203">
        <f t="shared" si="201"/>
        <v>0</v>
      </c>
      <c r="AM149" s="203">
        <f t="shared" si="191"/>
        <v>0</v>
      </c>
      <c r="AN149" s="203">
        <f t="shared" si="191"/>
        <v>0</v>
      </c>
      <c r="AO149" s="205">
        <f t="shared" si="192"/>
        <v>1744.5</v>
      </c>
      <c r="AP149" s="205">
        <f t="shared" si="193"/>
        <v>0</v>
      </c>
      <c r="AQ149" s="205">
        <f t="shared" si="194"/>
        <v>0</v>
      </c>
      <c r="AR149" s="205">
        <f t="shared" si="195"/>
        <v>0</v>
      </c>
      <c r="AS149" s="205">
        <f t="shared" si="196"/>
        <v>0</v>
      </c>
      <c r="AT149" s="209">
        <f t="shared" si="115"/>
        <v>5815</v>
      </c>
      <c r="AU149" s="209">
        <f t="shared" si="115"/>
        <v>0</v>
      </c>
      <c r="AV149" s="203"/>
      <c r="AW149" s="251">
        <f t="shared" si="202"/>
        <v>5815</v>
      </c>
      <c r="AX149" s="251"/>
      <c r="AY149" s="838">
        <f t="shared" si="197"/>
        <v>5815</v>
      </c>
      <c r="AZ149" s="838"/>
      <c r="BA149" s="839"/>
    </row>
    <row r="150" spans="2:53" s="76" customFormat="1" ht="63">
      <c r="B150" s="703">
        <f t="shared" si="198"/>
        <v>110</v>
      </c>
      <c r="C150" s="197" t="s">
        <v>1064</v>
      </c>
      <c r="D150" s="198" t="s">
        <v>174</v>
      </c>
      <c r="E150" s="703" t="s">
        <v>1094</v>
      </c>
      <c r="F150" s="703">
        <v>10</v>
      </c>
      <c r="G150" s="199">
        <v>5815</v>
      </c>
      <c r="H150" s="736"/>
      <c r="I150" s="199"/>
      <c r="J150" s="736"/>
      <c r="K150" s="199"/>
      <c r="L150" s="199"/>
      <c r="M150" s="736"/>
      <c r="N150" s="199"/>
      <c r="O150" s="736"/>
      <c r="P150" s="199"/>
      <c r="Q150" s="199"/>
      <c r="R150" s="199">
        <f t="shared" si="199"/>
        <v>5815</v>
      </c>
      <c r="S150" s="199">
        <v>1</v>
      </c>
      <c r="T150" s="199"/>
      <c r="U150" s="199"/>
      <c r="V150" s="736"/>
      <c r="W150" s="199"/>
      <c r="X150" s="718">
        <v>33</v>
      </c>
      <c r="Y150" s="737">
        <v>0.3</v>
      </c>
      <c r="Z150" s="199">
        <f>R150*Y150</f>
        <v>1744.5</v>
      </c>
      <c r="AA150" s="199"/>
      <c r="AB150" s="199">
        <f>(R150+Z150)*S150</f>
        <v>7559.5</v>
      </c>
      <c r="AC150" s="738">
        <f t="shared" si="183"/>
        <v>5940.5</v>
      </c>
      <c r="AD150" s="738">
        <f t="shared" si="184"/>
        <v>13500</v>
      </c>
      <c r="AE150" s="202">
        <f t="shared" si="185"/>
        <v>13500</v>
      </c>
      <c r="AF150" s="202">
        <f t="shared" si="186"/>
        <v>5940.5</v>
      </c>
      <c r="AG150" s="738">
        <f t="shared" si="187"/>
        <v>7100</v>
      </c>
      <c r="AH150" s="202"/>
      <c r="AI150" s="203">
        <f t="shared" si="188"/>
        <v>5815</v>
      </c>
      <c r="AJ150" s="203">
        <f t="shared" si="189"/>
        <v>0</v>
      </c>
      <c r="AK150" s="203">
        <f t="shared" si="190"/>
        <v>5815</v>
      </c>
      <c r="AL150" s="203">
        <f t="shared" si="201"/>
        <v>0</v>
      </c>
      <c r="AM150" s="203">
        <f t="shared" si="191"/>
        <v>0</v>
      </c>
      <c r="AN150" s="203">
        <f t="shared" si="191"/>
        <v>0</v>
      </c>
      <c r="AO150" s="205">
        <f t="shared" si="192"/>
        <v>1744.5</v>
      </c>
      <c r="AP150" s="205">
        <f t="shared" si="193"/>
        <v>0</v>
      </c>
      <c r="AQ150" s="205">
        <f t="shared" si="194"/>
        <v>0</v>
      </c>
      <c r="AR150" s="205">
        <f t="shared" si="195"/>
        <v>0</v>
      </c>
      <c r="AS150" s="205">
        <f t="shared" si="196"/>
        <v>0</v>
      </c>
      <c r="AT150" s="209">
        <f t="shared" si="115"/>
        <v>5815</v>
      </c>
      <c r="AU150" s="209">
        <f t="shared" si="115"/>
        <v>0</v>
      </c>
      <c r="AV150" s="203"/>
      <c r="AW150" s="251">
        <f t="shared" si="202"/>
        <v>5815</v>
      </c>
      <c r="AX150" s="251"/>
      <c r="AY150" s="838">
        <f t="shared" si="197"/>
        <v>5815</v>
      </c>
      <c r="AZ150" s="838"/>
      <c r="BA150" s="839"/>
    </row>
    <row r="151" spans="2:53" s="76" customFormat="1" ht="63">
      <c r="B151" s="703">
        <f t="shared" si="198"/>
        <v>111</v>
      </c>
      <c r="C151" s="197" t="s">
        <v>1064</v>
      </c>
      <c r="D151" s="198" t="s">
        <v>175</v>
      </c>
      <c r="E151" s="703" t="s">
        <v>1095</v>
      </c>
      <c r="F151" s="703">
        <v>10</v>
      </c>
      <c r="G151" s="199">
        <v>5815</v>
      </c>
      <c r="H151" s="736"/>
      <c r="I151" s="199"/>
      <c r="J151" s="736"/>
      <c r="K151" s="199"/>
      <c r="L151" s="199"/>
      <c r="M151" s="736"/>
      <c r="N151" s="199"/>
      <c r="O151" s="736"/>
      <c r="P151" s="199"/>
      <c r="Q151" s="199"/>
      <c r="R151" s="199">
        <f t="shared" si="199"/>
        <v>5815</v>
      </c>
      <c r="S151" s="199">
        <v>1</v>
      </c>
      <c r="T151" s="199"/>
      <c r="U151" s="199"/>
      <c r="V151" s="736"/>
      <c r="W151" s="199"/>
      <c r="X151" s="718">
        <v>29</v>
      </c>
      <c r="Y151" s="737">
        <v>0.3</v>
      </c>
      <c r="Z151" s="199">
        <f t="shared" si="200"/>
        <v>1744.5</v>
      </c>
      <c r="AA151" s="199"/>
      <c r="AB151" s="199">
        <f>(R151+Z151)*S151</f>
        <v>7559.5</v>
      </c>
      <c r="AC151" s="738">
        <f t="shared" si="183"/>
        <v>5940.5</v>
      </c>
      <c r="AD151" s="738">
        <f t="shared" si="184"/>
        <v>13500</v>
      </c>
      <c r="AE151" s="202">
        <f t="shared" si="185"/>
        <v>13500</v>
      </c>
      <c r="AF151" s="202">
        <f t="shared" si="186"/>
        <v>5940.5</v>
      </c>
      <c r="AG151" s="738">
        <f t="shared" si="187"/>
        <v>7100</v>
      </c>
      <c r="AH151" s="202"/>
      <c r="AI151" s="203">
        <f t="shared" si="188"/>
        <v>5815</v>
      </c>
      <c r="AJ151" s="203">
        <f t="shared" si="189"/>
        <v>0</v>
      </c>
      <c r="AK151" s="203">
        <f t="shared" si="190"/>
        <v>5815</v>
      </c>
      <c r="AL151" s="203">
        <f t="shared" si="201"/>
        <v>0</v>
      </c>
      <c r="AM151" s="203">
        <f t="shared" si="191"/>
        <v>0</v>
      </c>
      <c r="AN151" s="203">
        <f t="shared" si="191"/>
        <v>0</v>
      </c>
      <c r="AO151" s="205">
        <f t="shared" si="192"/>
        <v>1744.5</v>
      </c>
      <c r="AP151" s="205">
        <f t="shared" si="193"/>
        <v>0</v>
      </c>
      <c r="AQ151" s="205">
        <f t="shared" si="194"/>
        <v>0</v>
      </c>
      <c r="AR151" s="205">
        <f t="shared" si="195"/>
        <v>0</v>
      </c>
      <c r="AS151" s="205">
        <f t="shared" si="196"/>
        <v>0</v>
      </c>
      <c r="AT151" s="209">
        <f t="shared" si="115"/>
        <v>5815</v>
      </c>
      <c r="AU151" s="209">
        <f t="shared" si="115"/>
        <v>0</v>
      </c>
      <c r="AV151" s="203"/>
      <c r="AW151" s="251">
        <f t="shared" si="202"/>
        <v>5815</v>
      </c>
      <c r="AX151" s="251"/>
      <c r="AY151" s="838">
        <f t="shared" si="197"/>
        <v>5815</v>
      </c>
      <c r="AZ151" s="838"/>
      <c r="BA151" s="839"/>
    </row>
    <row r="152" spans="2:53" s="76" customFormat="1">
      <c r="B152" s="703"/>
      <c r="C152" s="180" t="s">
        <v>1736</v>
      </c>
      <c r="D152" s="207"/>
      <c r="E152" s="193"/>
      <c r="F152" s="193"/>
      <c r="G152" s="183">
        <f>SUM(G142:G151)</f>
        <v>57862</v>
      </c>
      <c r="H152" s="752"/>
      <c r="I152" s="183">
        <f>SUM(I142:I151)</f>
        <v>581.5</v>
      </c>
      <c r="J152" s="731"/>
      <c r="K152" s="193"/>
      <c r="L152" s="193"/>
      <c r="M152" s="731"/>
      <c r="N152" s="193"/>
      <c r="O152" s="731"/>
      <c r="P152" s="184"/>
      <c r="Q152" s="193"/>
      <c r="R152" s="183">
        <f>SUM(R142:R151)</f>
        <v>58443.5</v>
      </c>
      <c r="S152" s="183">
        <f>SUM(S142:S151)</f>
        <v>10</v>
      </c>
      <c r="T152" s="183">
        <f>SUM(T142:T151)</f>
        <v>0</v>
      </c>
      <c r="U152" s="183"/>
      <c r="V152" s="742"/>
      <c r="W152" s="183"/>
      <c r="X152" s="742"/>
      <c r="Y152" s="742"/>
      <c r="Z152" s="183">
        <f t="shared" ref="Z152:AV152" si="203">SUM(Z142:Z151)</f>
        <v>16951.550000000003</v>
      </c>
      <c r="AA152" s="183">
        <f t="shared" si="203"/>
        <v>122</v>
      </c>
      <c r="AB152" s="183">
        <f t="shared" si="203"/>
        <v>75517.049999999988</v>
      </c>
      <c r="AC152" s="183">
        <f t="shared" si="203"/>
        <v>59482.950000000004</v>
      </c>
      <c r="AD152" s="183">
        <f>SUM(AD142:AD151)</f>
        <v>135000</v>
      </c>
      <c r="AE152" s="183">
        <f t="shared" si="203"/>
        <v>135000</v>
      </c>
      <c r="AF152" s="183">
        <f t="shared" si="203"/>
        <v>59482.950000000004</v>
      </c>
      <c r="AG152" s="183">
        <f>SUM(AG142:AG151)</f>
        <v>71000</v>
      </c>
      <c r="AH152" s="183">
        <f t="shared" si="203"/>
        <v>122</v>
      </c>
      <c r="AI152" s="183">
        <f t="shared" si="203"/>
        <v>57862</v>
      </c>
      <c r="AJ152" s="183">
        <f t="shared" si="203"/>
        <v>0</v>
      </c>
      <c r="AK152" s="183">
        <f t="shared" si="203"/>
        <v>58443.5</v>
      </c>
      <c r="AL152" s="183">
        <f t="shared" si="203"/>
        <v>0</v>
      </c>
      <c r="AM152" s="183">
        <f t="shared" si="203"/>
        <v>581.5</v>
      </c>
      <c r="AN152" s="183">
        <f t="shared" si="203"/>
        <v>0</v>
      </c>
      <c r="AO152" s="183">
        <f t="shared" si="203"/>
        <v>16951.550000000003</v>
      </c>
      <c r="AP152" s="183">
        <f t="shared" si="203"/>
        <v>0</v>
      </c>
      <c r="AQ152" s="183">
        <f t="shared" si="203"/>
        <v>122</v>
      </c>
      <c r="AR152" s="183">
        <f t="shared" si="203"/>
        <v>0</v>
      </c>
      <c r="AS152" s="183">
        <f t="shared" si="203"/>
        <v>0</v>
      </c>
      <c r="AT152" s="183">
        <f t="shared" si="203"/>
        <v>58443.5</v>
      </c>
      <c r="AU152" s="183">
        <f t="shared" si="203"/>
        <v>0</v>
      </c>
      <c r="AV152" s="183">
        <f t="shared" si="203"/>
        <v>0</v>
      </c>
      <c r="AW152" s="183">
        <f>SUM(AW142:AW151)</f>
        <v>58443.5</v>
      </c>
      <c r="AX152" s="251"/>
      <c r="AY152" s="839"/>
      <c r="AZ152" s="838"/>
      <c r="BA152" s="839"/>
    </row>
    <row r="153" spans="2:53" s="76" customFormat="1">
      <c r="B153" s="703"/>
      <c r="C153" s="220" t="s">
        <v>1874</v>
      </c>
      <c r="D153" s="207"/>
      <c r="E153" s="193"/>
      <c r="F153" s="193"/>
      <c r="G153" s="183"/>
      <c r="H153" s="752"/>
      <c r="I153" s="183"/>
      <c r="J153" s="731"/>
      <c r="K153" s="193"/>
      <c r="L153" s="193"/>
      <c r="M153" s="731"/>
      <c r="N153" s="193"/>
      <c r="O153" s="731"/>
      <c r="P153" s="184"/>
      <c r="Q153" s="193"/>
      <c r="R153" s="183"/>
      <c r="S153" s="183"/>
      <c r="T153" s="183"/>
      <c r="U153" s="183"/>
      <c r="V153" s="742"/>
      <c r="W153" s="183"/>
      <c r="X153" s="742"/>
      <c r="Y153" s="742"/>
      <c r="Z153" s="183"/>
      <c r="AA153" s="183"/>
      <c r="AB153" s="183"/>
      <c r="AC153" s="208"/>
      <c r="AD153" s="208"/>
      <c r="AE153" s="208"/>
      <c r="AF153" s="208"/>
      <c r="AG153" s="208"/>
      <c r="AH153" s="208"/>
      <c r="AI153" s="203"/>
      <c r="AJ153" s="203"/>
      <c r="AK153" s="203"/>
      <c r="AL153" s="203"/>
      <c r="AM153" s="203"/>
      <c r="AN153" s="203"/>
      <c r="AO153" s="205"/>
      <c r="AP153" s="205"/>
      <c r="AQ153" s="205"/>
      <c r="AR153" s="205"/>
      <c r="AS153" s="205"/>
      <c r="AT153" s="209"/>
      <c r="AU153" s="209"/>
      <c r="AV153" s="203"/>
      <c r="AW153" s="251"/>
      <c r="AX153" s="251"/>
      <c r="AY153" s="839"/>
      <c r="AZ153" s="838"/>
      <c r="BA153" s="839"/>
    </row>
    <row r="154" spans="2:53" s="76" customFormat="1" ht="94.5">
      <c r="B154" s="703">
        <f>B151+1</f>
        <v>112</v>
      </c>
      <c r="C154" s="197" t="s">
        <v>1188</v>
      </c>
      <c r="D154" s="198"/>
      <c r="E154" s="703" t="s">
        <v>1189</v>
      </c>
      <c r="F154" s="703">
        <v>3</v>
      </c>
      <c r="G154" s="199">
        <v>3770</v>
      </c>
      <c r="H154" s="736"/>
      <c r="I154" s="199"/>
      <c r="J154" s="741"/>
      <c r="K154" s="206"/>
      <c r="L154" s="206"/>
      <c r="M154" s="741"/>
      <c r="N154" s="206"/>
      <c r="O154" s="741"/>
      <c r="P154" s="206"/>
      <c r="Q154" s="206"/>
      <c r="R154" s="199">
        <f>G154+I154+K154+L154+N154+P154+Q154</f>
        <v>3770</v>
      </c>
      <c r="S154" s="199">
        <v>1</v>
      </c>
      <c r="T154" s="206"/>
      <c r="U154" s="206"/>
      <c r="V154" s="737">
        <v>0.1</v>
      </c>
      <c r="W154" s="199">
        <f>R154*V154</f>
        <v>377</v>
      </c>
      <c r="X154" s="718"/>
      <c r="Y154" s="737"/>
      <c r="Z154" s="199"/>
      <c r="AA154" s="199">
        <f>AH154</f>
        <v>3330</v>
      </c>
      <c r="AB154" s="199">
        <f>(R154+Z154+U154+W154)*S154+AA154</f>
        <v>7477</v>
      </c>
      <c r="AC154" s="738">
        <f>AF154</f>
        <v>0</v>
      </c>
      <c r="AD154" s="738">
        <f>AB154+AC154</f>
        <v>7477</v>
      </c>
      <c r="AE154" s="202">
        <f>AB154</f>
        <v>7477</v>
      </c>
      <c r="AF154" s="202">
        <f>AE154-AB154</f>
        <v>0</v>
      </c>
      <c r="AG154" s="738">
        <f>7100*S154</f>
        <v>7100</v>
      </c>
      <c r="AH154" s="202">
        <f>AG154-(R154*S154)</f>
        <v>3330</v>
      </c>
      <c r="AI154" s="203">
        <f>G154*S154</f>
        <v>3770</v>
      </c>
      <c r="AJ154" s="203">
        <f>G154*T154</f>
        <v>0</v>
      </c>
      <c r="AK154" s="203">
        <f>R154*S154</f>
        <v>3770</v>
      </c>
      <c r="AL154" s="203">
        <f>R154*T154</f>
        <v>0</v>
      </c>
      <c r="AM154" s="203">
        <f t="shared" ref="AM154:AN158" si="204">AK154-AI154</f>
        <v>0</v>
      </c>
      <c r="AN154" s="203">
        <f t="shared" si="204"/>
        <v>0</v>
      </c>
      <c r="AO154" s="205">
        <f>Z154*S154</f>
        <v>0</v>
      </c>
      <c r="AP154" s="205">
        <f>Z154*T154</f>
        <v>0</v>
      </c>
      <c r="AQ154" s="205">
        <f>AA154</f>
        <v>3330</v>
      </c>
      <c r="AR154" s="205">
        <f>W154*S154</f>
        <v>377</v>
      </c>
      <c r="AS154" s="205">
        <f>W154*T154</f>
        <v>0</v>
      </c>
      <c r="AT154" s="209">
        <f t="shared" ref="AT154:AU215" si="205">AK154</f>
        <v>3770</v>
      </c>
      <c r="AU154" s="209">
        <f t="shared" si="205"/>
        <v>0</v>
      </c>
      <c r="AV154" s="203"/>
      <c r="AW154" s="251">
        <f>R154*S154</f>
        <v>3770</v>
      </c>
      <c r="AX154" s="251"/>
      <c r="AY154" s="838">
        <f>AW154</f>
        <v>3770</v>
      </c>
      <c r="AZ154" s="838"/>
      <c r="BA154" s="839"/>
    </row>
    <row r="155" spans="2:53" s="76" customFormat="1" ht="94.5">
      <c r="B155" s="703">
        <f t="shared" si="198"/>
        <v>113</v>
      </c>
      <c r="C155" s="197" t="s">
        <v>1188</v>
      </c>
      <c r="D155" s="198"/>
      <c r="E155" s="703" t="s">
        <v>1813</v>
      </c>
      <c r="F155" s="703">
        <v>3</v>
      </c>
      <c r="G155" s="199">
        <v>3770</v>
      </c>
      <c r="H155" s="736"/>
      <c r="I155" s="199"/>
      <c r="J155" s="736"/>
      <c r="K155" s="199"/>
      <c r="L155" s="199"/>
      <c r="M155" s="736"/>
      <c r="N155" s="199"/>
      <c r="O155" s="736"/>
      <c r="P155" s="199"/>
      <c r="Q155" s="199"/>
      <c r="R155" s="199">
        <f>G155+I155+K155+L155+N155+P155+Q155</f>
        <v>3770</v>
      </c>
      <c r="S155" s="199">
        <v>1</v>
      </c>
      <c r="T155" s="199"/>
      <c r="U155" s="199"/>
      <c r="V155" s="737">
        <v>0.1</v>
      </c>
      <c r="W155" s="199">
        <f>R155*V155</f>
        <v>377</v>
      </c>
      <c r="X155" s="718"/>
      <c r="Y155" s="737"/>
      <c r="Z155" s="199"/>
      <c r="AA155" s="199">
        <f>AH155</f>
        <v>3330</v>
      </c>
      <c r="AB155" s="199">
        <f>(R155+Z155+U155+W155)*S155+AA155</f>
        <v>7477</v>
      </c>
      <c r="AC155" s="738">
        <f>AF155</f>
        <v>0</v>
      </c>
      <c r="AD155" s="738">
        <f>AB155+AC155</f>
        <v>7477</v>
      </c>
      <c r="AE155" s="202">
        <f>AB155</f>
        <v>7477</v>
      </c>
      <c r="AF155" s="202">
        <f>AE155-AB155</f>
        <v>0</v>
      </c>
      <c r="AG155" s="738">
        <f>7100*S155</f>
        <v>7100</v>
      </c>
      <c r="AH155" s="202">
        <f>AG155-(R155*S155)</f>
        <v>3330</v>
      </c>
      <c r="AI155" s="203">
        <f>G155*S155</f>
        <v>3770</v>
      </c>
      <c r="AJ155" s="203">
        <f>G155*T155</f>
        <v>0</v>
      </c>
      <c r="AK155" s="203">
        <f>R155*S155</f>
        <v>3770</v>
      </c>
      <c r="AL155" s="203">
        <f>R155*T155</f>
        <v>0</v>
      </c>
      <c r="AM155" s="203">
        <f t="shared" si="204"/>
        <v>0</v>
      </c>
      <c r="AN155" s="203">
        <f t="shared" si="204"/>
        <v>0</v>
      </c>
      <c r="AO155" s="205">
        <f>Z155*S155</f>
        <v>0</v>
      </c>
      <c r="AP155" s="205">
        <f>Z155*T155</f>
        <v>0</v>
      </c>
      <c r="AQ155" s="205">
        <f>AA155</f>
        <v>3330</v>
      </c>
      <c r="AR155" s="205">
        <f>W155*S155</f>
        <v>377</v>
      </c>
      <c r="AS155" s="205">
        <f>W155*T155</f>
        <v>0</v>
      </c>
      <c r="AT155" s="209">
        <f t="shared" si="205"/>
        <v>3770</v>
      </c>
      <c r="AU155" s="209">
        <f t="shared" si="205"/>
        <v>0</v>
      </c>
      <c r="AV155" s="203"/>
      <c r="AW155" s="251">
        <f>R155*S155</f>
        <v>3770</v>
      </c>
      <c r="AX155" s="251"/>
      <c r="AY155" s="838">
        <f>AW155</f>
        <v>3770</v>
      </c>
      <c r="AZ155" s="838"/>
      <c r="BA155" s="839"/>
    </row>
    <row r="156" spans="2:53" s="76" customFormat="1" ht="94.5">
      <c r="B156" s="703">
        <f t="shared" si="198"/>
        <v>114</v>
      </c>
      <c r="C156" s="197" t="s">
        <v>1188</v>
      </c>
      <c r="D156" s="198"/>
      <c r="E156" s="703" t="s">
        <v>1190</v>
      </c>
      <c r="F156" s="703">
        <v>3</v>
      </c>
      <c r="G156" s="199">
        <v>3770</v>
      </c>
      <c r="H156" s="736"/>
      <c r="I156" s="199"/>
      <c r="J156" s="736"/>
      <c r="K156" s="199"/>
      <c r="L156" s="199"/>
      <c r="M156" s="736"/>
      <c r="N156" s="199"/>
      <c r="O156" s="736"/>
      <c r="P156" s="199"/>
      <c r="Q156" s="199"/>
      <c r="R156" s="199">
        <f>G156+I156+K156+L156+N156+P156+Q156</f>
        <v>3770</v>
      </c>
      <c r="S156" s="199">
        <v>1</v>
      </c>
      <c r="T156" s="199"/>
      <c r="U156" s="199"/>
      <c r="V156" s="737">
        <v>0.1</v>
      </c>
      <c r="W156" s="199">
        <f>R156*V156</f>
        <v>377</v>
      </c>
      <c r="X156" s="718"/>
      <c r="Y156" s="737"/>
      <c r="Z156" s="199"/>
      <c r="AA156" s="199">
        <f>AH156</f>
        <v>3330</v>
      </c>
      <c r="AB156" s="199">
        <f>(R156+Z156+U156+W156)*S156+AA156</f>
        <v>7477</v>
      </c>
      <c r="AC156" s="738">
        <f>AF156</f>
        <v>0</v>
      </c>
      <c r="AD156" s="738">
        <f>AB156+AC156</f>
        <v>7477</v>
      </c>
      <c r="AE156" s="202">
        <f>AB156</f>
        <v>7477</v>
      </c>
      <c r="AF156" s="202">
        <f>AE156-AB156</f>
        <v>0</v>
      </c>
      <c r="AG156" s="738">
        <f>7100*S156</f>
        <v>7100</v>
      </c>
      <c r="AH156" s="202">
        <f>AG156-(R156*S156)</f>
        <v>3330</v>
      </c>
      <c r="AI156" s="203">
        <f>G156*S156</f>
        <v>3770</v>
      </c>
      <c r="AJ156" s="203">
        <f>G156*T156</f>
        <v>0</v>
      </c>
      <c r="AK156" s="203">
        <f>R156*S156</f>
        <v>3770</v>
      </c>
      <c r="AL156" s="203">
        <f>R156*T156</f>
        <v>0</v>
      </c>
      <c r="AM156" s="203">
        <f t="shared" si="204"/>
        <v>0</v>
      </c>
      <c r="AN156" s="203">
        <f t="shared" si="204"/>
        <v>0</v>
      </c>
      <c r="AO156" s="205">
        <f>Z156*S156</f>
        <v>0</v>
      </c>
      <c r="AP156" s="205">
        <f>Z156*T156</f>
        <v>0</v>
      </c>
      <c r="AQ156" s="205">
        <f>AA156</f>
        <v>3330</v>
      </c>
      <c r="AR156" s="205">
        <f>W156*S156</f>
        <v>377</v>
      </c>
      <c r="AS156" s="205">
        <f>W156*T156</f>
        <v>0</v>
      </c>
      <c r="AT156" s="209">
        <f t="shared" si="205"/>
        <v>3770</v>
      </c>
      <c r="AU156" s="209">
        <f t="shared" si="205"/>
        <v>0</v>
      </c>
      <c r="AV156" s="203"/>
      <c r="AW156" s="251">
        <f>R156*S156</f>
        <v>3770</v>
      </c>
      <c r="AX156" s="251"/>
      <c r="AY156" s="838">
        <f>AW156</f>
        <v>3770</v>
      </c>
      <c r="AZ156" s="838"/>
      <c r="BA156" s="839"/>
    </row>
    <row r="157" spans="2:53" s="76" customFormat="1" ht="94.5">
      <c r="B157" s="703">
        <f t="shared" si="198"/>
        <v>115</v>
      </c>
      <c r="C157" s="197" t="s">
        <v>1188</v>
      </c>
      <c r="D157" s="198"/>
      <c r="E157" s="703" t="s">
        <v>1191</v>
      </c>
      <c r="F157" s="703">
        <v>3</v>
      </c>
      <c r="G157" s="199">
        <v>3770</v>
      </c>
      <c r="H157" s="736"/>
      <c r="I157" s="199"/>
      <c r="J157" s="736"/>
      <c r="K157" s="199"/>
      <c r="L157" s="199"/>
      <c r="M157" s="736"/>
      <c r="N157" s="199"/>
      <c r="O157" s="736"/>
      <c r="P157" s="199"/>
      <c r="Q157" s="199"/>
      <c r="R157" s="199">
        <f>G157+I157+K157+L157+N157+P157+Q157</f>
        <v>3770</v>
      </c>
      <c r="S157" s="199">
        <v>1</v>
      </c>
      <c r="T157" s="199"/>
      <c r="U157" s="199"/>
      <c r="V157" s="737">
        <v>0.1</v>
      </c>
      <c r="W157" s="199">
        <f>R157*V157</f>
        <v>377</v>
      </c>
      <c r="X157" s="718"/>
      <c r="Y157" s="737"/>
      <c r="Z157" s="199"/>
      <c r="AA157" s="199">
        <f>AH157</f>
        <v>3330</v>
      </c>
      <c r="AB157" s="199">
        <f>(R157+Z157+U157+W157)*S157+AA157</f>
        <v>7477</v>
      </c>
      <c r="AC157" s="738">
        <f>AF157</f>
        <v>0</v>
      </c>
      <c r="AD157" s="738">
        <f>AB157+AC157</f>
        <v>7477</v>
      </c>
      <c r="AE157" s="202">
        <f>AB157</f>
        <v>7477</v>
      </c>
      <c r="AF157" s="202">
        <f>AE157-AB157</f>
        <v>0</v>
      </c>
      <c r="AG157" s="738">
        <f>7100*S157</f>
        <v>7100</v>
      </c>
      <c r="AH157" s="202">
        <f>AG157-(R157*S157)</f>
        <v>3330</v>
      </c>
      <c r="AI157" s="203">
        <f>G157*S157</f>
        <v>3770</v>
      </c>
      <c r="AJ157" s="203">
        <f>G157*T157</f>
        <v>0</v>
      </c>
      <c r="AK157" s="203">
        <f>R157*S157</f>
        <v>3770</v>
      </c>
      <c r="AL157" s="203">
        <f>R157*T157</f>
        <v>0</v>
      </c>
      <c r="AM157" s="203">
        <f t="shared" si="204"/>
        <v>0</v>
      </c>
      <c r="AN157" s="203">
        <f t="shared" si="204"/>
        <v>0</v>
      </c>
      <c r="AO157" s="205">
        <f>Z157*S157</f>
        <v>0</v>
      </c>
      <c r="AP157" s="205">
        <f>Z157*T157</f>
        <v>0</v>
      </c>
      <c r="AQ157" s="205">
        <f>AA157</f>
        <v>3330</v>
      </c>
      <c r="AR157" s="205">
        <f>W157*S157</f>
        <v>377</v>
      </c>
      <c r="AS157" s="205">
        <f>W157*T157</f>
        <v>0</v>
      </c>
      <c r="AT157" s="209">
        <f t="shared" si="205"/>
        <v>3770</v>
      </c>
      <c r="AU157" s="209">
        <f t="shared" si="205"/>
        <v>0</v>
      </c>
      <c r="AV157" s="203"/>
      <c r="AW157" s="251">
        <f>R157*S157</f>
        <v>3770</v>
      </c>
      <c r="AX157" s="251"/>
      <c r="AY157" s="838">
        <f>AW157</f>
        <v>3770</v>
      </c>
      <c r="AZ157" s="838"/>
      <c r="BA157" s="839"/>
    </row>
    <row r="158" spans="2:53" s="76" customFormat="1" ht="94.5">
      <c r="B158" s="703">
        <f t="shared" si="198"/>
        <v>116</v>
      </c>
      <c r="C158" s="197" t="s">
        <v>1188</v>
      </c>
      <c r="D158" s="198"/>
      <c r="E158" s="703" t="s">
        <v>1192</v>
      </c>
      <c r="F158" s="703">
        <v>3</v>
      </c>
      <c r="G158" s="199">
        <v>3770</v>
      </c>
      <c r="H158" s="736"/>
      <c r="I158" s="199"/>
      <c r="J158" s="736"/>
      <c r="K158" s="199"/>
      <c r="L158" s="199"/>
      <c r="M158" s="736"/>
      <c r="N158" s="199"/>
      <c r="O158" s="736"/>
      <c r="P158" s="206"/>
      <c r="Q158" s="206"/>
      <c r="R158" s="199">
        <f>G158+I158+K158+L158+N158+P158+Q158</f>
        <v>3770</v>
      </c>
      <c r="S158" s="199">
        <v>1</v>
      </c>
      <c r="T158" s="199"/>
      <c r="U158" s="199"/>
      <c r="V158" s="737">
        <v>0.1</v>
      </c>
      <c r="W158" s="199">
        <f>R158*V158</f>
        <v>377</v>
      </c>
      <c r="X158" s="718"/>
      <c r="Y158" s="737"/>
      <c r="Z158" s="199"/>
      <c r="AA158" s="199">
        <f>AH158</f>
        <v>3330</v>
      </c>
      <c r="AB158" s="199">
        <f>(R158+Z158+U158+W158)*S158+AA158</f>
        <v>7477</v>
      </c>
      <c r="AC158" s="738">
        <f>AF158</f>
        <v>0</v>
      </c>
      <c r="AD158" s="738">
        <f>AB158+AC158</f>
        <v>7477</v>
      </c>
      <c r="AE158" s="202">
        <f>AB158</f>
        <v>7477</v>
      </c>
      <c r="AF158" s="202">
        <f>AE158-AB158</f>
        <v>0</v>
      </c>
      <c r="AG158" s="738">
        <f>7100*S158</f>
        <v>7100</v>
      </c>
      <c r="AH158" s="202">
        <f>AG158-(R158*S158)</f>
        <v>3330</v>
      </c>
      <c r="AI158" s="203">
        <f>G158*S158</f>
        <v>3770</v>
      </c>
      <c r="AJ158" s="203">
        <f>G158*T158</f>
        <v>0</v>
      </c>
      <c r="AK158" s="203">
        <f>R158*S158</f>
        <v>3770</v>
      </c>
      <c r="AL158" s="203">
        <f>R158*T158</f>
        <v>0</v>
      </c>
      <c r="AM158" s="203">
        <f t="shared" si="204"/>
        <v>0</v>
      </c>
      <c r="AN158" s="203">
        <f t="shared" si="204"/>
        <v>0</v>
      </c>
      <c r="AO158" s="205">
        <f>Z158*S158</f>
        <v>0</v>
      </c>
      <c r="AP158" s="205">
        <f>Z158*T158</f>
        <v>0</v>
      </c>
      <c r="AQ158" s="205">
        <f>AA158</f>
        <v>3330</v>
      </c>
      <c r="AR158" s="205">
        <f>W158*S158</f>
        <v>377</v>
      </c>
      <c r="AS158" s="205">
        <f>W158*T158</f>
        <v>0</v>
      </c>
      <c r="AT158" s="209">
        <f t="shared" si="205"/>
        <v>3770</v>
      </c>
      <c r="AU158" s="209">
        <f t="shared" si="205"/>
        <v>0</v>
      </c>
      <c r="AV158" s="203"/>
      <c r="AW158" s="251">
        <f>R158*S158</f>
        <v>3770</v>
      </c>
      <c r="AX158" s="251"/>
      <c r="AY158" s="838">
        <f>AW158</f>
        <v>3770</v>
      </c>
      <c r="AZ158" s="838"/>
      <c r="BA158" s="839"/>
    </row>
    <row r="159" spans="2:53" s="76" customFormat="1">
      <c r="B159" s="703"/>
      <c r="C159" s="180" t="s">
        <v>1736</v>
      </c>
      <c r="D159" s="207"/>
      <c r="E159" s="193"/>
      <c r="F159" s="193"/>
      <c r="G159" s="184">
        <f>SUM(G154:G158)</f>
        <v>18850</v>
      </c>
      <c r="H159" s="747"/>
      <c r="I159" s="184"/>
      <c r="J159" s="747"/>
      <c r="K159" s="184"/>
      <c r="L159" s="184"/>
      <c r="M159" s="747"/>
      <c r="N159" s="184"/>
      <c r="O159" s="747"/>
      <c r="P159" s="184"/>
      <c r="Q159" s="184"/>
      <c r="R159" s="184">
        <f>SUM(R154:R158)</f>
        <v>18850</v>
      </c>
      <c r="S159" s="183">
        <f>SUM(S154:S158)</f>
        <v>5</v>
      </c>
      <c r="T159" s="183">
        <f>SUM(T154:T158)</f>
        <v>0</v>
      </c>
      <c r="U159" s="184"/>
      <c r="V159" s="748"/>
      <c r="W159" s="184">
        <f>SUM(W154:W158)</f>
        <v>1885</v>
      </c>
      <c r="X159" s="748"/>
      <c r="Y159" s="748"/>
      <c r="Z159" s="184"/>
      <c r="AA159" s="183">
        <f>SUM(AA154:AA158)</f>
        <v>16650</v>
      </c>
      <c r="AB159" s="183">
        <f>SUM(AB154:AB158)</f>
        <v>37385</v>
      </c>
      <c r="AC159" s="183">
        <f t="shared" ref="AC159:AV159" si="206">SUM(AC154:AC158)</f>
        <v>0</v>
      </c>
      <c r="AD159" s="183">
        <f>SUM(AD154:AD158)</f>
        <v>37385</v>
      </c>
      <c r="AE159" s="183">
        <f t="shared" si="206"/>
        <v>37385</v>
      </c>
      <c r="AF159" s="183">
        <f t="shared" si="206"/>
        <v>0</v>
      </c>
      <c r="AG159" s="183">
        <f>SUM(AG154:AG158)</f>
        <v>35500</v>
      </c>
      <c r="AH159" s="183">
        <f t="shared" si="206"/>
        <v>16650</v>
      </c>
      <c r="AI159" s="183">
        <f t="shared" si="206"/>
        <v>18850</v>
      </c>
      <c r="AJ159" s="183">
        <f t="shared" si="206"/>
        <v>0</v>
      </c>
      <c r="AK159" s="183">
        <f t="shared" si="206"/>
        <v>18850</v>
      </c>
      <c r="AL159" s="183">
        <f t="shared" si="206"/>
        <v>0</v>
      </c>
      <c r="AM159" s="183">
        <f t="shared" si="206"/>
        <v>0</v>
      </c>
      <c r="AN159" s="183">
        <f t="shared" si="206"/>
        <v>0</v>
      </c>
      <c r="AO159" s="183">
        <f t="shared" si="206"/>
        <v>0</v>
      </c>
      <c r="AP159" s="183">
        <f t="shared" si="206"/>
        <v>0</v>
      </c>
      <c r="AQ159" s="183">
        <f t="shared" si="206"/>
        <v>16650</v>
      </c>
      <c r="AR159" s="183">
        <f t="shared" si="206"/>
        <v>1885</v>
      </c>
      <c r="AS159" s="183">
        <f t="shared" si="206"/>
        <v>0</v>
      </c>
      <c r="AT159" s="183">
        <f t="shared" si="206"/>
        <v>18850</v>
      </c>
      <c r="AU159" s="183">
        <f t="shared" si="206"/>
        <v>0</v>
      </c>
      <c r="AV159" s="183">
        <f t="shared" si="206"/>
        <v>0</v>
      </c>
      <c r="AW159" s="183">
        <f>SUM(AW154:AW158)</f>
        <v>18850</v>
      </c>
      <c r="AX159" s="251"/>
      <c r="AY159" s="839"/>
      <c r="AZ159" s="838"/>
      <c r="BA159" s="839"/>
    </row>
    <row r="160" spans="2:53" s="76" customFormat="1">
      <c r="B160" s="703"/>
      <c r="C160" s="180" t="s">
        <v>1278</v>
      </c>
      <c r="D160" s="207"/>
      <c r="E160" s="193"/>
      <c r="F160" s="193"/>
      <c r="G160" s="184">
        <f>G140+G152+G159</f>
        <v>133775</v>
      </c>
      <c r="H160" s="748"/>
      <c r="I160" s="184">
        <f t="shared" ref="I160:AV160" si="207">I140+I152+I159</f>
        <v>2127.9</v>
      </c>
      <c r="J160" s="748"/>
      <c r="K160" s="184">
        <f t="shared" si="207"/>
        <v>12222.759999999998</v>
      </c>
      <c r="L160" s="184"/>
      <c r="M160" s="748"/>
      <c r="N160" s="184"/>
      <c r="O160" s="748"/>
      <c r="P160" s="184">
        <f t="shared" si="207"/>
        <v>2175.9</v>
      </c>
      <c r="Q160" s="184"/>
      <c r="R160" s="184">
        <f t="shared" si="207"/>
        <v>150301.56</v>
      </c>
      <c r="S160" s="183">
        <f>S140+S152+S159</f>
        <v>18</v>
      </c>
      <c r="T160" s="183">
        <f t="shared" si="207"/>
        <v>2</v>
      </c>
      <c r="U160" s="184"/>
      <c r="V160" s="748"/>
      <c r="W160" s="184">
        <f t="shared" si="207"/>
        <v>1885</v>
      </c>
      <c r="X160" s="748"/>
      <c r="Y160" s="748"/>
      <c r="Z160" s="184">
        <f t="shared" si="207"/>
        <v>34013.433000000005</v>
      </c>
      <c r="AA160" s="183">
        <f t="shared" si="207"/>
        <v>16772</v>
      </c>
      <c r="AB160" s="183">
        <f t="shared" si="207"/>
        <v>169844.2855</v>
      </c>
      <c r="AC160" s="183">
        <f t="shared" si="207"/>
        <v>102540.7145</v>
      </c>
      <c r="AD160" s="183">
        <f>AD140+AD152+AD159</f>
        <v>272385</v>
      </c>
      <c r="AE160" s="183">
        <f t="shared" si="207"/>
        <v>272385</v>
      </c>
      <c r="AF160" s="183">
        <f t="shared" si="207"/>
        <v>102540.7145</v>
      </c>
      <c r="AG160" s="183">
        <f>AG140+AG152+AG159</f>
        <v>134900</v>
      </c>
      <c r="AH160" s="183">
        <f t="shared" si="207"/>
        <v>45314.235500000003</v>
      </c>
      <c r="AI160" s="183">
        <f t="shared" si="207"/>
        <v>97032</v>
      </c>
      <c r="AJ160" s="183">
        <f t="shared" si="207"/>
        <v>14745.25</v>
      </c>
      <c r="AK160" s="183">
        <f t="shared" si="207"/>
        <v>105388.86</v>
      </c>
      <c r="AL160" s="183">
        <f t="shared" si="207"/>
        <v>18104.849999999999</v>
      </c>
      <c r="AM160" s="183">
        <f t="shared" si="207"/>
        <v>8356.86</v>
      </c>
      <c r="AN160" s="183">
        <f t="shared" si="207"/>
        <v>3359.6000000000004</v>
      </c>
      <c r="AO160" s="183">
        <f t="shared" si="207"/>
        <v>23114.318000000003</v>
      </c>
      <c r="AP160" s="183">
        <f t="shared" si="207"/>
        <v>4579.2575000000006</v>
      </c>
      <c r="AQ160" s="183">
        <f t="shared" si="207"/>
        <v>16772</v>
      </c>
      <c r="AR160" s="183">
        <f t="shared" si="207"/>
        <v>1885</v>
      </c>
      <c r="AS160" s="183">
        <f t="shared" si="207"/>
        <v>0</v>
      </c>
      <c r="AT160" s="183">
        <f t="shared" si="207"/>
        <v>105388.86</v>
      </c>
      <c r="AU160" s="183">
        <f t="shared" si="207"/>
        <v>18104.849999999999</v>
      </c>
      <c r="AV160" s="183">
        <f t="shared" si="207"/>
        <v>0</v>
      </c>
      <c r="AW160" s="183">
        <f>AW140+AW152+AW159</f>
        <v>123493.70999999999</v>
      </c>
      <c r="AX160" s="251"/>
      <c r="AY160" s="839"/>
      <c r="AZ160" s="838"/>
      <c r="BA160" s="839"/>
    </row>
    <row r="161" spans="2:53" s="76" customFormat="1">
      <c r="B161" s="703"/>
      <c r="C161" s="191" t="s">
        <v>1767</v>
      </c>
      <c r="D161" s="192"/>
      <c r="E161" s="193"/>
      <c r="F161" s="193"/>
      <c r="G161" s="193"/>
      <c r="H161" s="731"/>
      <c r="I161" s="193"/>
      <c r="J161" s="731"/>
      <c r="K161" s="193"/>
      <c r="L161" s="193"/>
      <c r="M161" s="731"/>
      <c r="N161" s="193"/>
      <c r="O161" s="731"/>
      <c r="P161" s="193"/>
      <c r="Q161" s="193"/>
      <c r="R161" s="193"/>
      <c r="S161" s="193"/>
      <c r="T161" s="193"/>
      <c r="U161" s="193"/>
      <c r="V161" s="732"/>
      <c r="W161" s="193"/>
      <c r="X161" s="732"/>
      <c r="Y161" s="732"/>
      <c r="Z161" s="193"/>
      <c r="AA161" s="193"/>
      <c r="AB161" s="193"/>
      <c r="AC161" s="195"/>
      <c r="AD161" s="195"/>
      <c r="AE161" s="195"/>
      <c r="AF161" s="195"/>
      <c r="AG161" s="195"/>
      <c r="AH161" s="195"/>
      <c r="AI161" s="203">
        <f>G161*S161</f>
        <v>0</v>
      </c>
      <c r="AJ161" s="203">
        <f>G161*T161</f>
        <v>0</v>
      </c>
      <c r="AK161" s="203">
        <f>R161*S161</f>
        <v>0</v>
      </c>
      <c r="AL161" s="203">
        <f>R161*T161</f>
        <v>0</v>
      </c>
      <c r="AM161" s="203">
        <f t="shared" ref="AM161:AN163" si="208">AK161-AI161</f>
        <v>0</v>
      </c>
      <c r="AN161" s="203">
        <f t="shared" si="208"/>
        <v>0</v>
      </c>
      <c r="AO161" s="205">
        <f>Z161*S161</f>
        <v>0</v>
      </c>
      <c r="AP161" s="205">
        <f>Z161*T161</f>
        <v>0</v>
      </c>
      <c r="AQ161" s="205">
        <f>AA161</f>
        <v>0</v>
      </c>
      <c r="AR161" s="205">
        <f>W161*S161</f>
        <v>0</v>
      </c>
      <c r="AS161" s="205">
        <f>W161*T161</f>
        <v>0</v>
      </c>
      <c r="AT161" s="209">
        <f t="shared" si="205"/>
        <v>0</v>
      </c>
      <c r="AU161" s="209">
        <f t="shared" si="205"/>
        <v>0</v>
      </c>
      <c r="AV161" s="203"/>
      <c r="AW161" s="251"/>
      <c r="AX161" s="251"/>
      <c r="AY161" s="839"/>
      <c r="AZ161" s="838"/>
      <c r="BA161" s="839"/>
    </row>
    <row r="162" spans="2:53" s="76" customFormat="1">
      <c r="B162" s="703"/>
      <c r="C162" s="220" t="s">
        <v>1382</v>
      </c>
      <c r="D162" s="217"/>
      <c r="E162" s="218"/>
      <c r="F162" s="218"/>
      <c r="G162" s="218"/>
      <c r="H162" s="745"/>
      <c r="I162" s="218"/>
      <c r="J162" s="745"/>
      <c r="K162" s="218"/>
      <c r="L162" s="218"/>
      <c r="M162" s="745"/>
      <c r="N162" s="218"/>
      <c r="O162" s="745"/>
      <c r="P162" s="218"/>
      <c r="Q162" s="218"/>
      <c r="R162" s="218"/>
      <c r="S162" s="218"/>
      <c r="T162" s="218"/>
      <c r="U162" s="218"/>
      <c r="V162" s="746"/>
      <c r="W162" s="218"/>
      <c r="X162" s="746"/>
      <c r="Y162" s="746"/>
      <c r="Z162" s="218"/>
      <c r="AA162" s="218"/>
      <c r="AB162" s="218"/>
      <c r="AC162" s="219"/>
      <c r="AD162" s="219"/>
      <c r="AE162" s="219"/>
      <c r="AF162" s="219"/>
      <c r="AG162" s="219"/>
      <c r="AH162" s="219"/>
      <c r="AI162" s="203">
        <f>G162*S162</f>
        <v>0</v>
      </c>
      <c r="AJ162" s="203">
        <f>G162*T162</f>
        <v>0</v>
      </c>
      <c r="AK162" s="203">
        <f>R162*S162</f>
        <v>0</v>
      </c>
      <c r="AL162" s="203">
        <f>R162*T162</f>
        <v>0</v>
      </c>
      <c r="AM162" s="203">
        <f t="shared" si="208"/>
        <v>0</v>
      </c>
      <c r="AN162" s="203">
        <f t="shared" si="208"/>
        <v>0</v>
      </c>
      <c r="AO162" s="205">
        <f>Z162*S162</f>
        <v>0</v>
      </c>
      <c r="AP162" s="205">
        <f>Z162*T162</f>
        <v>0</v>
      </c>
      <c r="AQ162" s="205">
        <f>AA162</f>
        <v>0</v>
      </c>
      <c r="AR162" s="205">
        <f>W162*S162</f>
        <v>0</v>
      </c>
      <c r="AS162" s="205">
        <f>W162*T162</f>
        <v>0</v>
      </c>
      <c r="AT162" s="209">
        <f t="shared" si="205"/>
        <v>0</v>
      </c>
      <c r="AU162" s="209">
        <f t="shared" si="205"/>
        <v>0</v>
      </c>
      <c r="AV162" s="203"/>
      <c r="AW162" s="251"/>
      <c r="AX162" s="251"/>
      <c r="AY162" s="839"/>
      <c r="AZ162" s="838"/>
      <c r="BA162" s="839"/>
    </row>
    <row r="163" spans="2:53" s="76" customFormat="1" ht="58.5">
      <c r="B163" s="703">
        <f>B158+1</f>
        <v>117</v>
      </c>
      <c r="C163" s="197" t="s">
        <v>1768</v>
      </c>
      <c r="D163" s="198" t="s">
        <v>1357</v>
      </c>
      <c r="E163" s="703" t="s">
        <v>1024</v>
      </c>
      <c r="F163" s="703">
        <v>13</v>
      </c>
      <c r="G163" s="199">
        <v>7253</v>
      </c>
      <c r="H163" s="737"/>
      <c r="I163" s="703"/>
      <c r="J163" s="736"/>
      <c r="K163" s="199"/>
      <c r="L163" s="199"/>
      <c r="M163" s="736"/>
      <c r="N163" s="193"/>
      <c r="O163" s="737">
        <v>0.15</v>
      </c>
      <c r="P163" s="204">
        <f>G163*O163</f>
        <v>1087.95</v>
      </c>
      <c r="Q163" s="201"/>
      <c r="R163" s="199">
        <f>G163+I163+K163+L163+N163+P163+Q163</f>
        <v>8340.9500000000007</v>
      </c>
      <c r="S163" s="199">
        <v>0.75</v>
      </c>
      <c r="T163" s="703"/>
      <c r="U163" s="703"/>
      <c r="V163" s="737"/>
      <c r="W163" s="703"/>
      <c r="X163" s="718">
        <v>27</v>
      </c>
      <c r="Y163" s="737">
        <v>0.3</v>
      </c>
      <c r="Z163" s="199">
        <f>R163*Y163</f>
        <v>2502.2850000000003</v>
      </c>
      <c r="AA163" s="199"/>
      <c r="AB163" s="199">
        <f>(R163+Z163)*S163+AA163</f>
        <v>8132.4262500000004</v>
      </c>
      <c r="AC163" s="738">
        <f>AF163</f>
        <v>6867.5737499999996</v>
      </c>
      <c r="AD163" s="738">
        <f>AB163+AC163</f>
        <v>15000</v>
      </c>
      <c r="AE163" s="202">
        <f>20000*S163</f>
        <v>15000</v>
      </c>
      <c r="AF163" s="202">
        <f>AE163-AB163</f>
        <v>6867.5737499999996</v>
      </c>
      <c r="AG163" s="738">
        <f>7100*S163</f>
        <v>5325</v>
      </c>
      <c r="AH163" s="202">
        <f>AB163-AG163</f>
        <v>2807.4262500000004</v>
      </c>
      <c r="AI163" s="203">
        <f>G163*S163</f>
        <v>5439.75</v>
      </c>
      <c r="AJ163" s="203">
        <f>G163*T163</f>
        <v>0</v>
      </c>
      <c r="AK163" s="203">
        <f>R163*S163</f>
        <v>6255.7125000000005</v>
      </c>
      <c r="AL163" s="203">
        <f>R163*T163</f>
        <v>0</v>
      </c>
      <c r="AM163" s="203">
        <f t="shared" si="208"/>
        <v>815.96250000000055</v>
      </c>
      <c r="AN163" s="203">
        <f t="shared" si="208"/>
        <v>0</v>
      </c>
      <c r="AO163" s="205">
        <f>Z163*S163</f>
        <v>1876.7137500000003</v>
      </c>
      <c r="AP163" s="205">
        <f>Z163*T163</f>
        <v>0</v>
      </c>
      <c r="AQ163" s="205">
        <f>AA163</f>
        <v>0</v>
      </c>
      <c r="AR163" s="205">
        <f>W163*S163</f>
        <v>0</v>
      </c>
      <c r="AS163" s="205">
        <f>W163*T163</f>
        <v>0</v>
      </c>
      <c r="AT163" s="209">
        <f t="shared" si="205"/>
        <v>6255.7125000000005</v>
      </c>
      <c r="AU163" s="209">
        <f t="shared" si="205"/>
        <v>0</v>
      </c>
      <c r="AV163" s="203"/>
      <c r="AW163" s="251">
        <f>R163*S163</f>
        <v>6255.7125000000005</v>
      </c>
      <c r="AX163" s="251"/>
      <c r="AY163" s="838">
        <f>AW163</f>
        <v>6255.7125000000005</v>
      </c>
      <c r="AZ163" s="838"/>
      <c r="BA163" s="839"/>
    </row>
    <row r="164" spans="2:53" s="76" customFormat="1">
      <c r="B164" s="703"/>
      <c r="C164" s="180" t="s">
        <v>1736</v>
      </c>
      <c r="D164" s="207"/>
      <c r="E164" s="193"/>
      <c r="F164" s="193"/>
      <c r="G164" s="183">
        <f>SUM(G163:G163)</f>
        <v>7253</v>
      </c>
      <c r="H164" s="752"/>
      <c r="I164" s="183">
        <f>SUM(I163:I163)</f>
        <v>0</v>
      </c>
      <c r="J164" s="752">
        <f>SUM(J163:J163)</f>
        <v>0</v>
      </c>
      <c r="K164" s="183">
        <f>SUM(K163:K163)</f>
        <v>0</v>
      </c>
      <c r="L164" s="183"/>
      <c r="M164" s="752"/>
      <c r="N164" s="183"/>
      <c r="O164" s="752"/>
      <c r="P164" s="183">
        <f>SUM(P163:P163)</f>
        <v>1087.95</v>
      </c>
      <c r="Q164" s="183"/>
      <c r="R164" s="183">
        <f>SUM(R163:R163)</f>
        <v>8340.9500000000007</v>
      </c>
      <c r="S164" s="183">
        <f>SUM(S163:S163)</f>
        <v>0.75</v>
      </c>
      <c r="T164" s="183">
        <f>SUM(T163:T163)</f>
        <v>0</v>
      </c>
      <c r="U164" s="183"/>
      <c r="V164" s="742"/>
      <c r="W164" s="183"/>
      <c r="X164" s="742"/>
      <c r="Y164" s="742"/>
      <c r="Z164" s="183">
        <f>SUM(Z163:Z163)</f>
        <v>2502.2850000000003</v>
      </c>
      <c r="AA164" s="183">
        <f>SUM(AA163:AA163)</f>
        <v>0</v>
      </c>
      <c r="AB164" s="183">
        <f t="shared" ref="AB164:AV164" si="209">SUM(AB163:AB163)</f>
        <v>8132.4262500000004</v>
      </c>
      <c r="AC164" s="183">
        <f t="shared" si="209"/>
        <v>6867.5737499999996</v>
      </c>
      <c r="AD164" s="183">
        <f>SUM(AD163:AD163)</f>
        <v>15000</v>
      </c>
      <c r="AE164" s="183">
        <f t="shared" si="209"/>
        <v>15000</v>
      </c>
      <c r="AF164" s="183">
        <f t="shared" si="209"/>
        <v>6867.5737499999996</v>
      </c>
      <c r="AG164" s="183">
        <f>SUM(AG163:AG163)</f>
        <v>5325</v>
      </c>
      <c r="AH164" s="183">
        <f t="shared" si="209"/>
        <v>2807.4262500000004</v>
      </c>
      <c r="AI164" s="183">
        <f t="shared" si="209"/>
        <v>5439.75</v>
      </c>
      <c r="AJ164" s="183">
        <f t="shared" si="209"/>
        <v>0</v>
      </c>
      <c r="AK164" s="183">
        <f t="shared" si="209"/>
        <v>6255.7125000000005</v>
      </c>
      <c r="AL164" s="183">
        <f t="shared" si="209"/>
        <v>0</v>
      </c>
      <c r="AM164" s="183">
        <f t="shared" si="209"/>
        <v>815.96250000000055</v>
      </c>
      <c r="AN164" s="183">
        <f t="shared" si="209"/>
        <v>0</v>
      </c>
      <c r="AO164" s="183">
        <f t="shared" si="209"/>
        <v>1876.7137500000003</v>
      </c>
      <c r="AP164" s="183">
        <f t="shared" si="209"/>
        <v>0</v>
      </c>
      <c r="AQ164" s="183">
        <f t="shared" si="209"/>
        <v>0</v>
      </c>
      <c r="AR164" s="183">
        <f t="shared" si="209"/>
        <v>0</v>
      </c>
      <c r="AS164" s="183">
        <f t="shared" si="209"/>
        <v>0</v>
      </c>
      <c r="AT164" s="183">
        <f t="shared" si="209"/>
        <v>6255.7125000000005</v>
      </c>
      <c r="AU164" s="183">
        <f t="shared" si="209"/>
        <v>0</v>
      </c>
      <c r="AV164" s="183">
        <f t="shared" si="209"/>
        <v>0</v>
      </c>
      <c r="AW164" s="183">
        <f>SUM(AW163:AW163)</f>
        <v>6255.7125000000005</v>
      </c>
      <c r="AX164" s="251"/>
      <c r="AY164" s="839"/>
      <c r="AZ164" s="838"/>
      <c r="BA164" s="839"/>
    </row>
    <row r="165" spans="2:53" s="76" customFormat="1">
      <c r="B165" s="703"/>
      <c r="C165" s="220" t="s">
        <v>1581</v>
      </c>
      <c r="D165" s="217"/>
      <c r="E165" s="218"/>
      <c r="F165" s="218"/>
      <c r="G165" s="218"/>
      <c r="H165" s="745"/>
      <c r="I165" s="218"/>
      <c r="J165" s="745"/>
      <c r="K165" s="218"/>
      <c r="L165" s="218"/>
      <c r="M165" s="745"/>
      <c r="N165" s="218"/>
      <c r="O165" s="745"/>
      <c r="P165" s="218"/>
      <c r="Q165" s="218"/>
      <c r="R165" s="218"/>
      <c r="S165" s="218"/>
      <c r="T165" s="218"/>
      <c r="U165" s="218"/>
      <c r="V165" s="746"/>
      <c r="W165" s="218"/>
      <c r="X165" s="746"/>
      <c r="Y165" s="746"/>
      <c r="Z165" s="218"/>
      <c r="AA165" s="218"/>
      <c r="AB165" s="218"/>
      <c r="AC165" s="219"/>
      <c r="AD165" s="219"/>
      <c r="AE165" s="219"/>
      <c r="AF165" s="219"/>
      <c r="AG165" s="219"/>
      <c r="AH165" s="219"/>
      <c r="AI165" s="203"/>
      <c r="AJ165" s="203"/>
      <c r="AK165" s="203"/>
      <c r="AL165" s="203"/>
      <c r="AM165" s="203"/>
      <c r="AN165" s="203"/>
      <c r="AO165" s="205"/>
      <c r="AP165" s="205"/>
      <c r="AQ165" s="205"/>
      <c r="AR165" s="205"/>
      <c r="AS165" s="205"/>
      <c r="AT165" s="209"/>
      <c r="AU165" s="209"/>
      <c r="AV165" s="203"/>
      <c r="AW165" s="251"/>
      <c r="AX165" s="251"/>
      <c r="AY165" s="839"/>
      <c r="AZ165" s="838"/>
      <c r="BA165" s="839"/>
    </row>
    <row r="166" spans="2:53" s="76" customFormat="1" ht="63">
      <c r="B166" s="703">
        <f>B163+1</f>
        <v>118</v>
      </c>
      <c r="C166" s="197" t="s">
        <v>1799</v>
      </c>
      <c r="D166" s="198" t="s">
        <v>1099</v>
      </c>
      <c r="E166" s="703" t="s">
        <v>1100</v>
      </c>
      <c r="F166" s="703">
        <v>8</v>
      </c>
      <c r="G166" s="199">
        <v>5240</v>
      </c>
      <c r="H166" s="736"/>
      <c r="I166" s="199"/>
      <c r="J166" s="736"/>
      <c r="K166" s="199"/>
      <c r="L166" s="199"/>
      <c r="M166" s="736"/>
      <c r="N166" s="199"/>
      <c r="O166" s="737">
        <v>0.15</v>
      </c>
      <c r="P166" s="199">
        <f t="shared" ref="P166:P171" si="210">G166*O166</f>
        <v>786</v>
      </c>
      <c r="Q166" s="199"/>
      <c r="R166" s="199">
        <f t="shared" ref="R166:R171" si="211">G166+I166+K166+L166+N166+P166+Q166</f>
        <v>6026</v>
      </c>
      <c r="S166" s="199">
        <v>1</v>
      </c>
      <c r="T166" s="206"/>
      <c r="U166" s="206"/>
      <c r="V166" s="741"/>
      <c r="W166" s="206"/>
      <c r="X166" s="718">
        <v>16</v>
      </c>
      <c r="Y166" s="737">
        <v>0.2</v>
      </c>
      <c r="Z166" s="199">
        <f t="shared" ref="Z166:Z171" si="212">R166*Y166</f>
        <v>1205.2</v>
      </c>
      <c r="AA166" s="199"/>
      <c r="AB166" s="199">
        <f t="shared" ref="AB166:AB171" si="213">(R166+Z166)*S166+AA166</f>
        <v>7231.2</v>
      </c>
      <c r="AC166" s="738">
        <f t="shared" ref="AC166:AC171" si="214">AF166</f>
        <v>6268.8</v>
      </c>
      <c r="AD166" s="738">
        <f t="shared" ref="AD166:AD171" si="215">AB166+AC166</f>
        <v>13500</v>
      </c>
      <c r="AE166" s="202">
        <f t="shared" ref="AE166:AE171" si="216">13500*S166</f>
        <v>13500</v>
      </c>
      <c r="AF166" s="202">
        <f t="shared" ref="AF166:AF171" si="217">AE166-AB166</f>
        <v>6268.8</v>
      </c>
      <c r="AG166" s="738">
        <f t="shared" ref="AG166:AG171" si="218">7100*S166</f>
        <v>7100</v>
      </c>
      <c r="AH166" s="202">
        <f>AG166-(R166*S166)-Z166</f>
        <v>-131.20000000000005</v>
      </c>
      <c r="AI166" s="203">
        <f t="shared" ref="AI166:AI171" si="219">G166*S166</f>
        <v>5240</v>
      </c>
      <c r="AJ166" s="203">
        <f t="shared" ref="AJ166:AJ171" si="220">G166*T166</f>
        <v>0</v>
      </c>
      <c r="AK166" s="203">
        <f t="shared" ref="AK166:AK171" si="221">R166*S166</f>
        <v>6026</v>
      </c>
      <c r="AL166" s="203">
        <f t="shared" ref="AL166:AL171" si="222">R166*T166</f>
        <v>0</v>
      </c>
      <c r="AM166" s="203">
        <f t="shared" ref="AM166:AN171" si="223">AK166-AI166</f>
        <v>786</v>
      </c>
      <c r="AN166" s="203">
        <f>AL166-AJ166</f>
        <v>0</v>
      </c>
      <c r="AO166" s="205">
        <f t="shared" ref="AO166:AO171" si="224">Z166*S166</f>
        <v>1205.2</v>
      </c>
      <c r="AP166" s="205">
        <f t="shared" ref="AP166:AP171" si="225">Z166*T166</f>
        <v>0</v>
      </c>
      <c r="AQ166" s="205">
        <f t="shared" ref="AQ166:AQ171" si="226">AA166</f>
        <v>0</v>
      </c>
      <c r="AR166" s="205">
        <f t="shared" ref="AR166:AR171" si="227">W166*S166</f>
        <v>0</v>
      </c>
      <c r="AS166" s="205">
        <f t="shared" ref="AS166:AS171" si="228">W166*T166</f>
        <v>0</v>
      </c>
      <c r="AT166" s="209">
        <f>AK166</f>
        <v>6026</v>
      </c>
      <c r="AU166" s="209">
        <f t="shared" si="205"/>
        <v>0</v>
      </c>
      <c r="AV166" s="203"/>
      <c r="AW166" s="251">
        <f t="shared" ref="AW166:AW171" si="229">R166*S166</f>
        <v>6026</v>
      </c>
      <c r="AX166" s="251"/>
      <c r="AY166" s="838">
        <f t="shared" ref="AY166:AY171" si="230">AW166</f>
        <v>6026</v>
      </c>
      <c r="AZ166" s="838"/>
      <c r="BA166" s="839"/>
    </row>
    <row r="167" spans="2:53" s="76" customFormat="1" ht="63">
      <c r="B167" s="703">
        <f t="shared" si="198"/>
        <v>119</v>
      </c>
      <c r="C167" s="197" t="s">
        <v>1064</v>
      </c>
      <c r="D167" s="198" t="s">
        <v>1364</v>
      </c>
      <c r="E167" s="703" t="s">
        <v>1107</v>
      </c>
      <c r="F167" s="703">
        <v>9</v>
      </c>
      <c r="G167" s="199">
        <v>5527</v>
      </c>
      <c r="H167" s="736"/>
      <c r="I167" s="199"/>
      <c r="J167" s="736"/>
      <c r="K167" s="199"/>
      <c r="L167" s="199"/>
      <c r="M167" s="736"/>
      <c r="N167" s="199"/>
      <c r="O167" s="737">
        <v>0.15</v>
      </c>
      <c r="P167" s="199">
        <f t="shared" si="210"/>
        <v>829.05</v>
      </c>
      <c r="Q167" s="199"/>
      <c r="R167" s="199">
        <f>G167+I167+K167+L167+N167+P167+Q167</f>
        <v>6356.05</v>
      </c>
      <c r="S167" s="199">
        <v>1</v>
      </c>
      <c r="T167" s="206"/>
      <c r="U167" s="206"/>
      <c r="V167" s="741"/>
      <c r="W167" s="206"/>
      <c r="X167" s="718">
        <v>28</v>
      </c>
      <c r="Y167" s="737">
        <v>0.3</v>
      </c>
      <c r="Z167" s="199">
        <f t="shared" si="212"/>
        <v>1906.8150000000001</v>
      </c>
      <c r="AA167" s="199"/>
      <c r="AB167" s="199">
        <f t="shared" si="213"/>
        <v>8262.8649999999998</v>
      </c>
      <c r="AC167" s="738">
        <f t="shared" si="214"/>
        <v>5237.1350000000002</v>
      </c>
      <c r="AD167" s="738">
        <f t="shared" si="215"/>
        <v>13500</v>
      </c>
      <c r="AE167" s="202">
        <f t="shared" si="216"/>
        <v>13500</v>
      </c>
      <c r="AF167" s="202">
        <f t="shared" si="217"/>
        <v>5237.1350000000002</v>
      </c>
      <c r="AG167" s="738">
        <f t="shared" si="218"/>
        <v>7100</v>
      </c>
      <c r="AH167" s="202"/>
      <c r="AI167" s="203">
        <f t="shared" si="219"/>
        <v>5527</v>
      </c>
      <c r="AJ167" s="203">
        <f t="shared" si="220"/>
        <v>0</v>
      </c>
      <c r="AK167" s="203">
        <f t="shared" si="221"/>
        <v>6356.05</v>
      </c>
      <c r="AL167" s="203">
        <f t="shared" si="222"/>
        <v>0</v>
      </c>
      <c r="AM167" s="203">
        <f t="shared" si="223"/>
        <v>829.05000000000018</v>
      </c>
      <c r="AN167" s="203">
        <f>AL167-AJ167</f>
        <v>0</v>
      </c>
      <c r="AO167" s="205">
        <f t="shared" si="224"/>
        <v>1906.8150000000001</v>
      </c>
      <c r="AP167" s="205">
        <f t="shared" si="225"/>
        <v>0</v>
      </c>
      <c r="AQ167" s="205">
        <f t="shared" si="226"/>
        <v>0</v>
      </c>
      <c r="AR167" s="205">
        <f t="shared" si="227"/>
        <v>0</v>
      </c>
      <c r="AS167" s="205">
        <f t="shared" si="228"/>
        <v>0</v>
      </c>
      <c r="AT167" s="209">
        <f t="shared" si="205"/>
        <v>6356.05</v>
      </c>
      <c r="AU167" s="209">
        <f t="shared" si="205"/>
        <v>0</v>
      </c>
      <c r="AV167" s="203"/>
      <c r="AW167" s="251">
        <f t="shared" si="229"/>
        <v>6356.05</v>
      </c>
      <c r="AX167" s="251"/>
      <c r="AY167" s="838">
        <f t="shared" si="230"/>
        <v>6356.05</v>
      </c>
      <c r="AZ167" s="838"/>
      <c r="BA167" s="839"/>
    </row>
    <row r="168" spans="2:53" s="76" customFormat="1" ht="63">
      <c r="B168" s="703">
        <f t="shared" si="198"/>
        <v>120</v>
      </c>
      <c r="C168" s="197" t="s">
        <v>1064</v>
      </c>
      <c r="D168" s="198" t="s">
        <v>1800</v>
      </c>
      <c r="E168" s="703" t="s">
        <v>1108</v>
      </c>
      <c r="F168" s="703">
        <v>9</v>
      </c>
      <c r="G168" s="199">
        <v>5527</v>
      </c>
      <c r="H168" s="736"/>
      <c r="I168" s="199"/>
      <c r="J168" s="736"/>
      <c r="K168" s="199"/>
      <c r="L168" s="199"/>
      <c r="M168" s="736"/>
      <c r="N168" s="199"/>
      <c r="O168" s="737">
        <v>0.15</v>
      </c>
      <c r="P168" s="199">
        <f t="shared" si="210"/>
        <v>829.05</v>
      </c>
      <c r="Q168" s="199"/>
      <c r="R168" s="199">
        <f>G168+I168+K168+L168+N168+P168+Q168</f>
        <v>6356.05</v>
      </c>
      <c r="S168" s="199">
        <v>1</v>
      </c>
      <c r="T168" s="199"/>
      <c r="U168" s="199"/>
      <c r="V168" s="736"/>
      <c r="W168" s="199"/>
      <c r="X168" s="718">
        <v>35</v>
      </c>
      <c r="Y168" s="737">
        <v>0.3</v>
      </c>
      <c r="Z168" s="199">
        <f t="shared" si="212"/>
        <v>1906.8150000000001</v>
      </c>
      <c r="AA168" s="199"/>
      <c r="AB168" s="199">
        <f t="shared" si="213"/>
        <v>8262.8649999999998</v>
      </c>
      <c r="AC168" s="738">
        <f t="shared" si="214"/>
        <v>5237.1350000000002</v>
      </c>
      <c r="AD168" s="738">
        <f t="shared" si="215"/>
        <v>13500</v>
      </c>
      <c r="AE168" s="202">
        <f t="shared" si="216"/>
        <v>13500</v>
      </c>
      <c r="AF168" s="202">
        <f t="shared" si="217"/>
        <v>5237.1350000000002</v>
      </c>
      <c r="AG168" s="738">
        <f t="shared" si="218"/>
        <v>7100</v>
      </c>
      <c r="AH168" s="202"/>
      <c r="AI168" s="203">
        <f t="shared" si="219"/>
        <v>5527</v>
      </c>
      <c r="AJ168" s="203">
        <f t="shared" si="220"/>
        <v>0</v>
      </c>
      <c r="AK168" s="203">
        <f t="shared" si="221"/>
        <v>6356.05</v>
      </c>
      <c r="AL168" s="203">
        <f t="shared" si="222"/>
        <v>0</v>
      </c>
      <c r="AM168" s="203">
        <f t="shared" si="223"/>
        <v>829.05000000000018</v>
      </c>
      <c r="AN168" s="203">
        <f t="shared" si="223"/>
        <v>0</v>
      </c>
      <c r="AO168" s="205">
        <f t="shared" si="224"/>
        <v>1906.8150000000001</v>
      </c>
      <c r="AP168" s="205">
        <f t="shared" si="225"/>
        <v>0</v>
      </c>
      <c r="AQ168" s="205">
        <f t="shared" si="226"/>
        <v>0</v>
      </c>
      <c r="AR168" s="205">
        <f t="shared" si="227"/>
        <v>0</v>
      </c>
      <c r="AS168" s="205">
        <f t="shared" si="228"/>
        <v>0</v>
      </c>
      <c r="AT168" s="209">
        <f t="shared" si="205"/>
        <v>6356.05</v>
      </c>
      <c r="AU168" s="209">
        <f t="shared" si="205"/>
        <v>0</v>
      </c>
      <c r="AV168" s="203"/>
      <c r="AW168" s="251">
        <f t="shared" si="229"/>
        <v>6356.05</v>
      </c>
      <c r="AX168" s="251"/>
      <c r="AY168" s="838">
        <f t="shared" si="230"/>
        <v>6356.05</v>
      </c>
      <c r="AZ168" s="838"/>
      <c r="BA168" s="839"/>
    </row>
    <row r="169" spans="2:53" s="76" customFormat="1" ht="63">
      <c r="B169" s="703">
        <f t="shared" si="198"/>
        <v>121</v>
      </c>
      <c r="C169" s="197" t="s">
        <v>1064</v>
      </c>
      <c r="D169" s="198" t="s">
        <v>1862</v>
      </c>
      <c r="E169" s="703" t="s">
        <v>1109</v>
      </c>
      <c r="F169" s="703">
        <v>9</v>
      </c>
      <c r="G169" s="199">
        <v>5527</v>
      </c>
      <c r="H169" s="736"/>
      <c r="I169" s="199"/>
      <c r="J169" s="736"/>
      <c r="K169" s="199"/>
      <c r="L169" s="199"/>
      <c r="M169" s="736"/>
      <c r="N169" s="199"/>
      <c r="O169" s="737">
        <v>0.15</v>
      </c>
      <c r="P169" s="199">
        <f t="shared" si="210"/>
        <v>829.05</v>
      </c>
      <c r="Q169" s="206"/>
      <c r="R169" s="199">
        <f t="shared" si="211"/>
        <v>6356.05</v>
      </c>
      <c r="S169" s="199">
        <v>1</v>
      </c>
      <c r="T169" s="199"/>
      <c r="U169" s="206"/>
      <c r="V169" s="741"/>
      <c r="W169" s="206"/>
      <c r="X169" s="718">
        <v>23</v>
      </c>
      <c r="Y169" s="737">
        <v>0.3</v>
      </c>
      <c r="Z169" s="199">
        <f t="shared" si="212"/>
        <v>1906.8150000000001</v>
      </c>
      <c r="AA169" s="199"/>
      <c r="AB169" s="199">
        <f t="shared" si="213"/>
        <v>8262.8649999999998</v>
      </c>
      <c r="AC169" s="738">
        <f t="shared" si="214"/>
        <v>5237.1350000000002</v>
      </c>
      <c r="AD169" s="738">
        <f t="shared" si="215"/>
        <v>13500</v>
      </c>
      <c r="AE169" s="202">
        <f t="shared" si="216"/>
        <v>13500</v>
      </c>
      <c r="AF169" s="202">
        <f t="shared" si="217"/>
        <v>5237.1350000000002</v>
      </c>
      <c r="AG169" s="738">
        <f t="shared" si="218"/>
        <v>7100</v>
      </c>
      <c r="AH169" s="202"/>
      <c r="AI169" s="203">
        <f t="shared" si="219"/>
        <v>5527</v>
      </c>
      <c r="AJ169" s="203">
        <f t="shared" si="220"/>
        <v>0</v>
      </c>
      <c r="AK169" s="203">
        <f t="shared" si="221"/>
        <v>6356.05</v>
      </c>
      <c r="AL169" s="203">
        <f t="shared" si="222"/>
        <v>0</v>
      </c>
      <c r="AM169" s="203">
        <f t="shared" si="223"/>
        <v>829.05000000000018</v>
      </c>
      <c r="AN169" s="203">
        <f t="shared" si="223"/>
        <v>0</v>
      </c>
      <c r="AO169" s="205">
        <f t="shared" si="224"/>
        <v>1906.8150000000001</v>
      </c>
      <c r="AP169" s="205">
        <f t="shared" si="225"/>
        <v>0</v>
      </c>
      <c r="AQ169" s="205">
        <f t="shared" si="226"/>
        <v>0</v>
      </c>
      <c r="AR169" s="205">
        <f t="shared" si="227"/>
        <v>0</v>
      </c>
      <c r="AS169" s="205">
        <f t="shared" si="228"/>
        <v>0</v>
      </c>
      <c r="AT169" s="209">
        <f t="shared" si="205"/>
        <v>6356.05</v>
      </c>
      <c r="AU169" s="209">
        <f t="shared" si="205"/>
        <v>0</v>
      </c>
      <c r="AV169" s="203"/>
      <c r="AW169" s="251">
        <f t="shared" si="229"/>
        <v>6356.05</v>
      </c>
      <c r="AX169" s="251"/>
      <c r="AY169" s="838">
        <f t="shared" si="230"/>
        <v>6356.05</v>
      </c>
      <c r="AZ169" s="838"/>
      <c r="BA169" s="839"/>
    </row>
    <row r="170" spans="2:53" s="76" customFormat="1" ht="87.75">
      <c r="B170" s="703">
        <f t="shared" si="198"/>
        <v>122</v>
      </c>
      <c r="C170" s="197" t="s">
        <v>1064</v>
      </c>
      <c r="D170" s="198" t="s">
        <v>176</v>
      </c>
      <c r="E170" s="703" t="s">
        <v>177</v>
      </c>
      <c r="F170" s="703">
        <v>9</v>
      </c>
      <c r="G170" s="199">
        <v>5527</v>
      </c>
      <c r="H170" s="736"/>
      <c r="I170" s="199"/>
      <c r="J170" s="737"/>
      <c r="K170" s="201"/>
      <c r="L170" s="201"/>
      <c r="M170" s="736"/>
      <c r="N170" s="199"/>
      <c r="O170" s="737">
        <v>0.15</v>
      </c>
      <c r="P170" s="199">
        <f t="shared" si="210"/>
        <v>829.05</v>
      </c>
      <c r="Q170" s="206"/>
      <c r="R170" s="199">
        <f t="shared" si="211"/>
        <v>6356.05</v>
      </c>
      <c r="S170" s="199">
        <v>1</v>
      </c>
      <c r="T170" s="199"/>
      <c r="U170" s="206"/>
      <c r="V170" s="741"/>
      <c r="W170" s="206"/>
      <c r="X170" s="718">
        <v>20</v>
      </c>
      <c r="Y170" s="737">
        <v>0.3</v>
      </c>
      <c r="Z170" s="199">
        <f t="shared" si="212"/>
        <v>1906.8150000000001</v>
      </c>
      <c r="AA170" s="199"/>
      <c r="AB170" s="199">
        <f t="shared" si="213"/>
        <v>8262.8649999999998</v>
      </c>
      <c r="AC170" s="738">
        <f t="shared" si="214"/>
        <v>5237.1350000000002</v>
      </c>
      <c r="AD170" s="738">
        <f t="shared" si="215"/>
        <v>13500</v>
      </c>
      <c r="AE170" s="202">
        <f t="shared" si="216"/>
        <v>13500</v>
      </c>
      <c r="AF170" s="202">
        <f t="shared" si="217"/>
        <v>5237.1350000000002</v>
      </c>
      <c r="AG170" s="738">
        <f t="shared" si="218"/>
        <v>7100</v>
      </c>
      <c r="AH170" s="202">
        <f>AG170-(R170*S170)-Z170</f>
        <v>-1162.8650000000002</v>
      </c>
      <c r="AI170" s="203">
        <f t="shared" si="219"/>
        <v>5527</v>
      </c>
      <c r="AJ170" s="203">
        <f t="shared" si="220"/>
        <v>0</v>
      </c>
      <c r="AK170" s="203">
        <f t="shared" si="221"/>
        <v>6356.05</v>
      </c>
      <c r="AL170" s="203">
        <f t="shared" si="222"/>
        <v>0</v>
      </c>
      <c r="AM170" s="203">
        <f t="shared" si="223"/>
        <v>829.05000000000018</v>
      </c>
      <c r="AN170" s="203">
        <f>AL170-AJ170</f>
        <v>0</v>
      </c>
      <c r="AO170" s="205">
        <f t="shared" si="224"/>
        <v>1906.8150000000001</v>
      </c>
      <c r="AP170" s="205">
        <f t="shared" si="225"/>
        <v>0</v>
      </c>
      <c r="AQ170" s="205">
        <f t="shared" si="226"/>
        <v>0</v>
      </c>
      <c r="AR170" s="205">
        <f t="shared" si="227"/>
        <v>0</v>
      </c>
      <c r="AS170" s="205">
        <f t="shared" si="228"/>
        <v>0</v>
      </c>
      <c r="AT170" s="209">
        <f t="shared" si="205"/>
        <v>6356.05</v>
      </c>
      <c r="AU170" s="209">
        <f t="shared" si="205"/>
        <v>0</v>
      </c>
      <c r="AV170" s="203"/>
      <c r="AW170" s="251">
        <f t="shared" si="229"/>
        <v>6356.05</v>
      </c>
      <c r="AX170" s="251"/>
      <c r="AY170" s="838">
        <f t="shared" si="230"/>
        <v>6356.05</v>
      </c>
      <c r="AZ170" s="838"/>
      <c r="BA170" s="839"/>
    </row>
    <row r="171" spans="2:53" s="76" customFormat="1" ht="63">
      <c r="B171" s="703">
        <f t="shared" si="198"/>
        <v>123</v>
      </c>
      <c r="C171" s="197" t="s">
        <v>1064</v>
      </c>
      <c r="D171" s="198" t="s">
        <v>1801</v>
      </c>
      <c r="E171" s="703" t="s">
        <v>1113</v>
      </c>
      <c r="F171" s="703">
        <v>9</v>
      </c>
      <c r="G171" s="199">
        <v>5527</v>
      </c>
      <c r="H171" s="736"/>
      <c r="I171" s="199"/>
      <c r="J171" s="736"/>
      <c r="K171" s="199"/>
      <c r="L171" s="199"/>
      <c r="M171" s="736"/>
      <c r="N171" s="199"/>
      <c r="O171" s="737">
        <v>0.15</v>
      </c>
      <c r="P171" s="199">
        <f t="shared" si="210"/>
        <v>829.05</v>
      </c>
      <c r="Q171" s="199"/>
      <c r="R171" s="199">
        <f t="shared" si="211"/>
        <v>6356.05</v>
      </c>
      <c r="S171" s="199">
        <v>1</v>
      </c>
      <c r="T171" s="199"/>
      <c r="U171" s="199"/>
      <c r="V171" s="736"/>
      <c r="W171" s="199"/>
      <c r="X171" s="718">
        <v>38</v>
      </c>
      <c r="Y171" s="737">
        <v>0.3</v>
      </c>
      <c r="Z171" s="199">
        <f t="shared" si="212"/>
        <v>1906.8150000000001</v>
      </c>
      <c r="AA171" s="199"/>
      <c r="AB171" s="199">
        <f t="shared" si="213"/>
        <v>8262.8649999999998</v>
      </c>
      <c r="AC171" s="738">
        <f t="shared" si="214"/>
        <v>5237.1350000000002</v>
      </c>
      <c r="AD171" s="738">
        <f t="shared" si="215"/>
        <v>13500</v>
      </c>
      <c r="AE171" s="202">
        <f t="shared" si="216"/>
        <v>13500</v>
      </c>
      <c r="AF171" s="202">
        <f t="shared" si="217"/>
        <v>5237.1350000000002</v>
      </c>
      <c r="AG171" s="738">
        <f t="shared" si="218"/>
        <v>7100</v>
      </c>
      <c r="AH171" s="202"/>
      <c r="AI171" s="203">
        <f t="shared" si="219"/>
        <v>5527</v>
      </c>
      <c r="AJ171" s="203">
        <f t="shared" si="220"/>
        <v>0</v>
      </c>
      <c r="AK171" s="203">
        <f t="shared" si="221"/>
        <v>6356.05</v>
      </c>
      <c r="AL171" s="203">
        <f t="shared" si="222"/>
        <v>0</v>
      </c>
      <c r="AM171" s="203">
        <f t="shared" si="223"/>
        <v>829.05000000000018</v>
      </c>
      <c r="AN171" s="203">
        <f>AL171-AJ171</f>
        <v>0</v>
      </c>
      <c r="AO171" s="205">
        <f t="shared" si="224"/>
        <v>1906.8150000000001</v>
      </c>
      <c r="AP171" s="205">
        <f t="shared" si="225"/>
        <v>0</v>
      </c>
      <c r="AQ171" s="205">
        <f t="shared" si="226"/>
        <v>0</v>
      </c>
      <c r="AR171" s="205">
        <f t="shared" si="227"/>
        <v>0</v>
      </c>
      <c r="AS171" s="205">
        <f t="shared" si="228"/>
        <v>0</v>
      </c>
      <c r="AT171" s="209">
        <f t="shared" si="205"/>
        <v>6356.05</v>
      </c>
      <c r="AU171" s="209">
        <f t="shared" si="205"/>
        <v>0</v>
      </c>
      <c r="AV171" s="203"/>
      <c r="AW171" s="251">
        <f t="shared" si="229"/>
        <v>6356.05</v>
      </c>
      <c r="AX171" s="251"/>
      <c r="AY171" s="838">
        <f t="shared" si="230"/>
        <v>6356.05</v>
      </c>
      <c r="AZ171" s="838"/>
      <c r="BA171" s="839"/>
    </row>
    <row r="172" spans="2:53" s="76" customFormat="1">
      <c r="B172" s="703"/>
      <c r="C172" s="180" t="s">
        <v>1736</v>
      </c>
      <c r="D172" s="207"/>
      <c r="E172" s="193"/>
      <c r="F172" s="193"/>
      <c r="G172" s="183">
        <f>SUM(G166:G171)</f>
        <v>32875</v>
      </c>
      <c r="H172" s="752"/>
      <c r="I172" s="183">
        <f>SUM(I166:I171)</f>
        <v>0</v>
      </c>
      <c r="J172" s="752"/>
      <c r="K172" s="183"/>
      <c r="L172" s="183"/>
      <c r="M172" s="752"/>
      <c r="N172" s="183"/>
      <c r="O172" s="752"/>
      <c r="P172" s="183">
        <f>SUM(P166:P171)</f>
        <v>4931.25</v>
      </c>
      <c r="Q172" s="183">
        <f>SUM(Q166:Q171)</f>
        <v>0</v>
      </c>
      <c r="R172" s="183">
        <f>SUM(R166:R171)</f>
        <v>37806.25</v>
      </c>
      <c r="S172" s="183">
        <f>SUM(S166:S171)</f>
        <v>6</v>
      </c>
      <c r="T172" s="183">
        <f>SUM(T166:T171)</f>
        <v>0</v>
      </c>
      <c r="U172" s="183"/>
      <c r="V172" s="742"/>
      <c r="W172" s="183"/>
      <c r="X172" s="742"/>
      <c r="Y172" s="742"/>
      <c r="Z172" s="183">
        <f>SUM(Z166:Z171)</f>
        <v>10739.275000000001</v>
      </c>
      <c r="AA172" s="183">
        <f t="shared" ref="AA172:AV172" si="231">SUM(AA166:AA171)</f>
        <v>0</v>
      </c>
      <c r="AB172" s="183">
        <f t="shared" si="231"/>
        <v>48545.524999999994</v>
      </c>
      <c r="AC172" s="183">
        <f t="shared" si="231"/>
        <v>32454.475000000006</v>
      </c>
      <c r="AD172" s="183">
        <f>SUM(AD166:AD171)</f>
        <v>81000</v>
      </c>
      <c r="AE172" s="183">
        <f t="shared" si="231"/>
        <v>81000</v>
      </c>
      <c r="AF172" s="183">
        <f t="shared" si="231"/>
        <v>32454.475000000006</v>
      </c>
      <c r="AG172" s="183">
        <f>SUM(AG166:AG171)</f>
        <v>42600</v>
      </c>
      <c r="AH172" s="183">
        <f t="shared" si="231"/>
        <v>-1294.0650000000003</v>
      </c>
      <c r="AI172" s="183">
        <f t="shared" si="231"/>
        <v>32875</v>
      </c>
      <c r="AJ172" s="183">
        <f t="shared" si="231"/>
        <v>0</v>
      </c>
      <c r="AK172" s="183">
        <f t="shared" si="231"/>
        <v>37806.25</v>
      </c>
      <c r="AL172" s="183">
        <f t="shared" si="231"/>
        <v>0</v>
      </c>
      <c r="AM172" s="183">
        <f t="shared" si="231"/>
        <v>4931.2500000000009</v>
      </c>
      <c r="AN172" s="183">
        <f t="shared" si="231"/>
        <v>0</v>
      </c>
      <c r="AO172" s="183">
        <f t="shared" si="231"/>
        <v>10739.275000000001</v>
      </c>
      <c r="AP172" s="183">
        <f t="shared" si="231"/>
        <v>0</v>
      </c>
      <c r="AQ172" s="183">
        <f t="shared" si="231"/>
        <v>0</v>
      </c>
      <c r="AR172" s="183">
        <f t="shared" si="231"/>
        <v>0</v>
      </c>
      <c r="AS172" s="183">
        <f t="shared" si="231"/>
        <v>0</v>
      </c>
      <c r="AT172" s="183">
        <f t="shared" si="231"/>
        <v>37806.25</v>
      </c>
      <c r="AU172" s="183">
        <f t="shared" si="231"/>
        <v>0</v>
      </c>
      <c r="AV172" s="183">
        <f t="shared" si="231"/>
        <v>0</v>
      </c>
      <c r="AW172" s="183">
        <f>SUM(AW166:AW171)</f>
        <v>37806.25</v>
      </c>
      <c r="AX172" s="251"/>
      <c r="AY172" s="839"/>
      <c r="AZ172" s="838"/>
      <c r="BA172" s="839"/>
    </row>
    <row r="173" spans="2:53" s="76" customFormat="1">
      <c r="B173" s="703"/>
      <c r="C173" s="220" t="s">
        <v>1874</v>
      </c>
      <c r="D173" s="207"/>
      <c r="E173" s="193"/>
      <c r="F173" s="193"/>
      <c r="G173" s="183"/>
      <c r="H173" s="752"/>
      <c r="I173" s="183"/>
      <c r="J173" s="731"/>
      <c r="K173" s="193"/>
      <c r="L173" s="193"/>
      <c r="M173" s="731"/>
      <c r="N173" s="193"/>
      <c r="O173" s="731"/>
      <c r="P173" s="184"/>
      <c r="Q173" s="193"/>
      <c r="R173" s="183"/>
      <c r="S173" s="183"/>
      <c r="T173" s="183"/>
      <c r="U173" s="183"/>
      <c r="V173" s="742"/>
      <c r="W173" s="183"/>
      <c r="X173" s="742"/>
      <c r="Y173" s="742"/>
      <c r="Z173" s="183"/>
      <c r="AA173" s="183"/>
      <c r="AB173" s="183"/>
      <c r="AC173" s="208"/>
      <c r="AD173" s="208"/>
      <c r="AE173" s="208"/>
      <c r="AF173" s="208"/>
      <c r="AG173" s="208"/>
      <c r="AH173" s="208"/>
      <c r="AI173" s="203"/>
      <c r="AJ173" s="203"/>
      <c r="AK173" s="203"/>
      <c r="AL173" s="203"/>
      <c r="AM173" s="203"/>
      <c r="AN173" s="203"/>
      <c r="AO173" s="205"/>
      <c r="AP173" s="205"/>
      <c r="AQ173" s="205"/>
      <c r="AR173" s="205"/>
      <c r="AS173" s="205"/>
      <c r="AT173" s="209"/>
      <c r="AU173" s="209"/>
      <c r="AV173" s="203"/>
      <c r="AW173" s="251"/>
      <c r="AX173" s="251"/>
      <c r="AY173" s="839"/>
      <c r="AZ173" s="838"/>
      <c r="BA173" s="839"/>
    </row>
    <row r="174" spans="2:53" s="76" customFormat="1" ht="94.5">
      <c r="B174" s="703">
        <f>B171+1</f>
        <v>124</v>
      </c>
      <c r="C174" s="197" t="s">
        <v>1188</v>
      </c>
      <c r="D174" s="198"/>
      <c r="E174" s="703" t="s">
        <v>1194</v>
      </c>
      <c r="F174" s="703">
        <v>3</v>
      </c>
      <c r="G174" s="199">
        <v>3770</v>
      </c>
      <c r="H174" s="736"/>
      <c r="I174" s="199"/>
      <c r="J174" s="736"/>
      <c r="K174" s="199"/>
      <c r="L174" s="199"/>
      <c r="M174" s="736"/>
      <c r="N174" s="199"/>
      <c r="O174" s="737">
        <v>0.15</v>
      </c>
      <c r="P174" s="204">
        <f>G174*O174</f>
        <v>565.5</v>
      </c>
      <c r="Q174" s="206"/>
      <c r="R174" s="199">
        <f>G174+I174+K174+L174+N174+P174+Q174</f>
        <v>4335.5</v>
      </c>
      <c r="S174" s="199">
        <v>1</v>
      </c>
      <c r="T174" s="199"/>
      <c r="U174" s="199"/>
      <c r="V174" s="737">
        <v>0.1</v>
      </c>
      <c r="W174" s="199">
        <f>R174*V174</f>
        <v>433.55</v>
      </c>
      <c r="X174" s="718"/>
      <c r="Y174" s="737"/>
      <c r="Z174" s="199"/>
      <c r="AA174" s="199">
        <f>AH174</f>
        <v>2764.5</v>
      </c>
      <c r="AB174" s="199">
        <f>(R174+Z174+U174+W174)*S174+AA174</f>
        <v>7533.55</v>
      </c>
      <c r="AC174" s="738">
        <f>AF174</f>
        <v>0</v>
      </c>
      <c r="AD174" s="738">
        <f>AB174+AC174</f>
        <v>7533.55</v>
      </c>
      <c r="AE174" s="202">
        <f>AB174</f>
        <v>7533.55</v>
      </c>
      <c r="AF174" s="202">
        <f>AE174-AB174</f>
        <v>0</v>
      </c>
      <c r="AG174" s="738">
        <f>7100*S174</f>
        <v>7100</v>
      </c>
      <c r="AH174" s="202">
        <f>AG174-(R174*S174)</f>
        <v>2764.5</v>
      </c>
      <c r="AI174" s="203">
        <f>G174*S174</f>
        <v>3770</v>
      </c>
      <c r="AJ174" s="203">
        <f>G174*T174</f>
        <v>0</v>
      </c>
      <c r="AK174" s="203">
        <f>R174*S174</f>
        <v>4335.5</v>
      </c>
      <c r="AL174" s="203">
        <f>R174*T174</f>
        <v>0</v>
      </c>
      <c r="AM174" s="203">
        <f t="shared" ref="AM174:AN178" si="232">AK174-AI174</f>
        <v>565.5</v>
      </c>
      <c r="AN174" s="203">
        <f t="shared" si="232"/>
        <v>0</v>
      </c>
      <c r="AO174" s="205">
        <f>Z174*S174</f>
        <v>0</v>
      </c>
      <c r="AP174" s="205">
        <f>Z174*T174</f>
        <v>0</v>
      </c>
      <c r="AQ174" s="205">
        <f>AA174</f>
        <v>2764.5</v>
      </c>
      <c r="AR174" s="205">
        <f>W174*S174</f>
        <v>433.55</v>
      </c>
      <c r="AS174" s="205">
        <f>W174*T174</f>
        <v>0</v>
      </c>
      <c r="AT174" s="209">
        <f t="shared" si="205"/>
        <v>4335.5</v>
      </c>
      <c r="AU174" s="209">
        <f t="shared" si="205"/>
        <v>0</v>
      </c>
      <c r="AV174" s="203"/>
      <c r="AW174" s="251">
        <f>R174*S174</f>
        <v>4335.5</v>
      </c>
      <c r="AX174" s="251"/>
      <c r="AY174" s="838">
        <f>AW174</f>
        <v>4335.5</v>
      </c>
      <c r="AZ174" s="838"/>
      <c r="BA174" s="839"/>
    </row>
    <row r="175" spans="2:53" s="76" customFormat="1" ht="94.5">
      <c r="B175" s="703">
        <f t="shared" si="198"/>
        <v>125</v>
      </c>
      <c r="C175" s="197" t="s">
        <v>1188</v>
      </c>
      <c r="D175" s="198"/>
      <c r="E175" s="703" t="s">
        <v>1741</v>
      </c>
      <c r="F175" s="703">
        <v>3</v>
      </c>
      <c r="G175" s="199">
        <v>3770</v>
      </c>
      <c r="H175" s="736"/>
      <c r="I175" s="199"/>
      <c r="J175" s="737"/>
      <c r="K175" s="201"/>
      <c r="L175" s="201"/>
      <c r="M175" s="736"/>
      <c r="N175" s="199"/>
      <c r="O175" s="737">
        <v>0.15</v>
      </c>
      <c r="P175" s="204">
        <f>G175*O175</f>
        <v>565.5</v>
      </c>
      <c r="Q175" s="206"/>
      <c r="R175" s="199">
        <f>G175+I175+K175+L175+N175+P175+Q175</f>
        <v>4335.5</v>
      </c>
      <c r="S175" s="199">
        <v>1</v>
      </c>
      <c r="T175" s="199"/>
      <c r="U175" s="199"/>
      <c r="V175" s="737">
        <v>0.1</v>
      </c>
      <c r="W175" s="199">
        <f>R175*V175</f>
        <v>433.55</v>
      </c>
      <c r="X175" s="718"/>
      <c r="Y175" s="737"/>
      <c r="Z175" s="199"/>
      <c r="AA175" s="199">
        <f>AH175</f>
        <v>2764.5</v>
      </c>
      <c r="AB175" s="199">
        <f>(R175+Z175+U175+W175)*S175+AA175</f>
        <v>7533.55</v>
      </c>
      <c r="AC175" s="738">
        <f>AF175</f>
        <v>0</v>
      </c>
      <c r="AD175" s="738">
        <f>AB175+AC175</f>
        <v>7533.55</v>
      </c>
      <c r="AE175" s="202">
        <f>AB175</f>
        <v>7533.55</v>
      </c>
      <c r="AF175" s="202">
        <f>AE175-AB175</f>
        <v>0</v>
      </c>
      <c r="AG175" s="738">
        <f>7100*S175</f>
        <v>7100</v>
      </c>
      <c r="AH175" s="202">
        <f>AG175-(R175*S175)</f>
        <v>2764.5</v>
      </c>
      <c r="AI175" s="203">
        <f>G175*S175</f>
        <v>3770</v>
      </c>
      <c r="AJ175" s="203">
        <f>G175*T175</f>
        <v>0</v>
      </c>
      <c r="AK175" s="203">
        <f>R175*S175</f>
        <v>4335.5</v>
      </c>
      <c r="AL175" s="203">
        <f>R175*T175</f>
        <v>0</v>
      </c>
      <c r="AM175" s="203">
        <f t="shared" si="232"/>
        <v>565.5</v>
      </c>
      <c r="AN175" s="203">
        <f t="shared" si="232"/>
        <v>0</v>
      </c>
      <c r="AO175" s="205">
        <f>Z175*S175</f>
        <v>0</v>
      </c>
      <c r="AP175" s="205">
        <f>Z175*T175</f>
        <v>0</v>
      </c>
      <c r="AQ175" s="205">
        <f>AA175</f>
        <v>2764.5</v>
      </c>
      <c r="AR175" s="205">
        <f>W175*S175</f>
        <v>433.55</v>
      </c>
      <c r="AS175" s="205">
        <f>W175*T175</f>
        <v>0</v>
      </c>
      <c r="AT175" s="209">
        <f t="shared" si="205"/>
        <v>4335.5</v>
      </c>
      <c r="AU175" s="209">
        <f t="shared" si="205"/>
        <v>0</v>
      </c>
      <c r="AV175" s="203"/>
      <c r="AW175" s="251">
        <f>R175*S175</f>
        <v>4335.5</v>
      </c>
      <c r="AX175" s="251"/>
      <c r="AY175" s="838">
        <f>AW175</f>
        <v>4335.5</v>
      </c>
      <c r="AZ175" s="838"/>
      <c r="BA175" s="839"/>
    </row>
    <row r="176" spans="2:53" s="76" customFormat="1" ht="94.5">
      <c r="B176" s="703">
        <f t="shared" si="198"/>
        <v>126</v>
      </c>
      <c r="C176" s="197" t="s">
        <v>1188</v>
      </c>
      <c r="D176" s="198"/>
      <c r="E176" s="703" t="s">
        <v>1195</v>
      </c>
      <c r="F176" s="703">
        <v>3</v>
      </c>
      <c r="G176" s="199">
        <v>3770</v>
      </c>
      <c r="H176" s="736"/>
      <c r="I176" s="199"/>
      <c r="J176" s="737"/>
      <c r="K176" s="201"/>
      <c r="L176" s="201"/>
      <c r="M176" s="736"/>
      <c r="N176" s="199"/>
      <c r="O176" s="737">
        <v>0.15</v>
      </c>
      <c r="P176" s="204">
        <f>G176*O176</f>
        <v>565.5</v>
      </c>
      <c r="Q176" s="206"/>
      <c r="R176" s="199">
        <f>G176+I176+K176+L176+N176+P176+Q176</f>
        <v>4335.5</v>
      </c>
      <c r="S176" s="199">
        <v>1</v>
      </c>
      <c r="T176" s="199"/>
      <c r="U176" s="199"/>
      <c r="V176" s="737">
        <v>0.1</v>
      </c>
      <c r="W176" s="199">
        <f>R176*V176</f>
        <v>433.55</v>
      </c>
      <c r="X176" s="718"/>
      <c r="Y176" s="737"/>
      <c r="Z176" s="199"/>
      <c r="AA176" s="199">
        <f>AH176</f>
        <v>2764.5</v>
      </c>
      <c r="AB176" s="199">
        <f>(R176+Z176+U176+W176)*S176+AA176</f>
        <v>7533.55</v>
      </c>
      <c r="AC176" s="738">
        <f>AF176</f>
        <v>0</v>
      </c>
      <c r="AD176" s="738">
        <f>AB176+AC176</f>
        <v>7533.55</v>
      </c>
      <c r="AE176" s="202">
        <f>AB176</f>
        <v>7533.55</v>
      </c>
      <c r="AF176" s="202">
        <f>AE176-AB176</f>
        <v>0</v>
      </c>
      <c r="AG176" s="738">
        <f>7100*S176</f>
        <v>7100</v>
      </c>
      <c r="AH176" s="202">
        <f>AG176-(R176*S176)</f>
        <v>2764.5</v>
      </c>
      <c r="AI176" s="203">
        <f>G176*S176</f>
        <v>3770</v>
      </c>
      <c r="AJ176" s="203">
        <f>G176*T176</f>
        <v>0</v>
      </c>
      <c r="AK176" s="203">
        <f>R176*S176</f>
        <v>4335.5</v>
      </c>
      <c r="AL176" s="203">
        <f>R176*T176</f>
        <v>0</v>
      </c>
      <c r="AM176" s="203">
        <f t="shared" si="232"/>
        <v>565.5</v>
      </c>
      <c r="AN176" s="203">
        <f t="shared" si="232"/>
        <v>0</v>
      </c>
      <c r="AO176" s="205">
        <f>Z176*S176</f>
        <v>0</v>
      </c>
      <c r="AP176" s="205">
        <f>Z176*T176</f>
        <v>0</v>
      </c>
      <c r="AQ176" s="205">
        <f>AA176</f>
        <v>2764.5</v>
      </c>
      <c r="AR176" s="205">
        <f>W176*S176</f>
        <v>433.55</v>
      </c>
      <c r="AS176" s="205">
        <f>W176*T176</f>
        <v>0</v>
      </c>
      <c r="AT176" s="209">
        <f t="shared" si="205"/>
        <v>4335.5</v>
      </c>
      <c r="AU176" s="209">
        <f t="shared" si="205"/>
        <v>0</v>
      </c>
      <c r="AV176" s="203"/>
      <c r="AW176" s="251">
        <f>R176*S176</f>
        <v>4335.5</v>
      </c>
      <c r="AX176" s="251"/>
      <c r="AY176" s="838">
        <f>AW176</f>
        <v>4335.5</v>
      </c>
      <c r="AZ176" s="838"/>
      <c r="BA176" s="839"/>
    </row>
    <row r="177" spans="2:53" s="76" customFormat="1" ht="94.5">
      <c r="B177" s="703">
        <f t="shared" si="198"/>
        <v>127</v>
      </c>
      <c r="C177" s="197" t="s">
        <v>1188</v>
      </c>
      <c r="D177" s="198"/>
      <c r="E177" s="703" t="s">
        <v>1199</v>
      </c>
      <c r="F177" s="703">
        <v>3</v>
      </c>
      <c r="G177" s="199">
        <v>3770</v>
      </c>
      <c r="H177" s="736"/>
      <c r="I177" s="199"/>
      <c r="J177" s="737"/>
      <c r="K177" s="201"/>
      <c r="L177" s="201"/>
      <c r="M177" s="736"/>
      <c r="N177" s="199"/>
      <c r="O177" s="737">
        <v>0.15</v>
      </c>
      <c r="P177" s="204">
        <f>G177*O177</f>
        <v>565.5</v>
      </c>
      <c r="Q177" s="206"/>
      <c r="R177" s="199">
        <f>G177+I177+K177+L177+N177+P177+Q177</f>
        <v>4335.5</v>
      </c>
      <c r="S177" s="199">
        <v>1</v>
      </c>
      <c r="T177" s="199"/>
      <c r="U177" s="199"/>
      <c r="V177" s="737">
        <v>0.1</v>
      </c>
      <c r="W177" s="199">
        <f>R177*V177</f>
        <v>433.55</v>
      </c>
      <c r="X177" s="718"/>
      <c r="Y177" s="737"/>
      <c r="Z177" s="199"/>
      <c r="AA177" s="199">
        <f>AH177</f>
        <v>2764.5</v>
      </c>
      <c r="AB177" s="199">
        <f>(R177+Z177+U177+W177)*S177+AA177</f>
        <v>7533.55</v>
      </c>
      <c r="AC177" s="738">
        <f>AF177</f>
        <v>0</v>
      </c>
      <c r="AD177" s="738">
        <f>AB177+AC177</f>
        <v>7533.55</v>
      </c>
      <c r="AE177" s="202">
        <f>AB177</f>
        <v>7533.55</v>
      </c>
      <c r="AF177" s="202">
        <f>AE177-AB177</f>
        <v>0</v>
      </c>
      <c r="AG177" s="738">
        <f>7100*S177</f>
        <v>7100</v>
      </c>
      <c r="AH177" s="202">
        <f>AG177-(R177*S177)</f>
        <v>2764.5</v>
      </c>
      <c r="AI177" s="203">
        <f>G177*S177</f>
        <v>3770</v>
      </c>
      <c r="AJ177" s="203">
        <f>G177*T177</f>
        <v>0</v>
      </c>
      <c r="AK177" s="203">
        <f>R177*S177</f>
        <v>4335.5</v>
      </c>
      <c r="AL177" s="203">
        <f>R177*T177</f>
        <v>0</v>
      </c>
      <c r="AM177" s="203">
        <f t="shared" si="232"/>
        <v>565.5</v>
      </c>
      <c r="AN177" s="203">
        <f t="shared" si="232"/>
        <v>0</v>
      </c>
      <c r="AO177" s="205">
        <f>Z177*S177</f>
        <v>0</v>
      </c>
      <c r="AP177" s="205">
        <f>Z177*T177</f>
        <v>0</v>
      </c>
      <c r="AQ177" s="205">
        <f>AA177</f>
        <v>2764.5</v>
      </c>
      <c r="AR177" s="205">
        <f>W177*S177</f>
        <v>433.55</v>
      </c>
      <c r="AS177" s="205">
        <f>W177*T177</f>
        <v>0</v>
      </c>
      <c r="AT177" s="209">
        <f t="shared" si="205"/>
        <v>4335.5</v>
      </c>
      <c r="AU177" s="209">
        <f t="shared" si="205"/>
        <v>0</v>
      </c>
      <c r="AV177" s="203"/>
      <c r="AW177" s="251">
        <f>R177*S177</f>
        <v>4335.5</v>
      </c>
      <c r="AX177" s="251"/>
      <c r="AY177" s="838">
        <f>AW177</f>
        <v>4335.5</v>
      </c>
      <c r="AZ177" s="838"/>
      <c r="BA177" s="839"/>
    </row>
    <row r="178" spans="2:53" s="76" customFormat="1" ht="94.5">
      <c r="B178" s="703">
        <f t="shared" si="198"/>
        <v>128</v>
      </c>
      <c r="C178" s="197" t="s">
        <v>1188</v>
      </c>
      <c r="D178" s="198"/>
      <c r="E178" s="703" t="s">
        <v>1200</v>
      </c>
      <c r="F178" s="703">
        <v>3</v>
      </c>
      <c r="G178" s="199">
        <v>3770</v>
      </c>
      <c r="H178" s="736"/>
      <c r="I178" s="199"/>
      <c r="J178" s="737"/>
      <c r="K178" s="201"/>
      <c r="L178" s="201"/>
      <c r="M178" s="736"/>
      <c r="N178" s="199"/>
      <c r="O178" s="737">
        <v>0.15</v>
      </c>
      <c r="P178" s="204">
        <f>G178*O178</f>
        <v>565.5</v>
      </c>
      <c r="Q178" s="206"/>
      <c r="R178" s="199">
        <f>G178+I178+K178+L178+N178+P178+Q178</f>
        <v>4335.5</v>
      </c>
      <c r="S178" s="199">
        <v>1</v>
      </c>
      <c r="T178" s="199"/>
      <c r="U178" s="199"/>
      <c r="V178" s="737">
        <v>0.1</v>
      </c>
      <c r="W178" s="199">
        <f>R178*V178</f>
        <v>433.55</v>
      </c>
      <c r="X178" s="718"/>
      <c r="Y178" s="737"/>
      <c r="Z178" s="199"/>
      <c r="AA178" s="199">
        <f>AH178</f>
        <v>2764.5</v>
      </c>
      <c r="AB178" s="199">
        <f>(R178+Z178+U178+W178)*S178+AA178</f>
        <v>7533.55</v>
      </c>
      <c r="AC178" s="738">
        <f>AF178</f>
        <v>0</v>
      </c>
      <c r="AD178" s="738">
        <f>AB178+AC178</f>
        <v>7533.55</v>
      </c>
      <c r="AE178" s="202">
        <f>AB178</f>
        <v>7533.55</v>
      </c>
      <c r="AF178" s="202">
        <f>AE178-AB178</f>
        <v>0</v>
      </c>
      <c r="AG178" s="738">
        <f>7100*S178</f>
        <v>7100</v>
      </c>
      <c r="AH178" s="202">
        <f>AG178-(R178*S178)</f>
        <v>2764.5</v>
      </c>
      <c r="AI178" s="203">
        <f>G178*S178</f>
        <v>3770</v>
      </c>
      <c r="AJ178" s="203">
        <f>G178*T178</f>
        <v>0</v>
      </c>
      <c r="AK178" s="203">
        <f>R178*S178</f>
        <v>4335.5</v>
      </c>
      <c r="AL178" s="203">
        <f>R178*T178</f>
        <v>0</v>
      </c>
      <c r="AM178" s="203">
        <f t="shared" si="232"/>
        <v>565.5</v>
      </c>
      <c r="AN178" s="203">
        <f t="shared" si="232"/>
        <v>0</v>
      </c>
      <c r="AO178" s="205">
        <f>Z178*S178</f>
        <v>0</v>
      </c>
      <c r="AP178" s="205">
        <f>Z178*T178</f>
        <v>0</v>
      </c>
      <c r="AQ178" s="205">
        <f>AA178</f>
        <v>2764.5</v>
      </c>
      <c r="AR178" s="205">
        <f>W178*S178</f>
        <v>433.55</v>
      </c>
      <c r="AS178" s="205">
        <f>W178*T178</f>
        <v>0</v>
      </c>
      <c r="AT178" s="209">
        <f t="shared" si="205"/>
        <v>4335.5</v>
      </c>
      <c r="AU178" s="209">
        <f t="shared" si="205"/>
        <v>0</v>
      </c>
      <c r="AV178" s="203"/>
      <c r="AW178" s="251">
        <f>R178*S178</f>
        <v>4335.5</v>
      </c>
      <c r="AX178" s="251"/>
      <c r="AY178" s="838">
        <f>AW178</f>
        <v>4335.5</v>
      </c>
      <c r="AZ178" s="838"/>
      <c r="BA178" s="839"/>
    </row>
    <row r="179" spans="2:53" s="76" customFormat="1">
      <c r="B179" s="703"/>
      <c r="C179" s="180" t="s">
        <v>1736</v>
      </c>
      <c r="D179" s="207"/>
      <c r="E179" s="193"/>
      <c r="F179" s="193"/>
      <c r="G179" s="183">
        <f>SUM(G174:G178)</f>
        <v>18850</v>
      </c>
      <c r="H179" s="731"/>
      <c r="I179" s="193"/>
      <c r="J179" s="731"/>
      <c r="K179" s="193"/>
      <c r="L179" s="193"/>
      <c r="M179" s="731"/>
      <c r="N179" s="193"/>
      <c r="O179" s="731"/>
      <c r="P179" s="184">
        <f>SUM(P174:P178)</f>
        <v>2827.5</v>
      </c>
      <c r="Q179" s="183"/>
      <c r="R179" s="183">
        <f>SUM(R174:R178)</f>
        <v>21677.5</v>
      </c>
      <c r="S179" s="183">
        <f>SUM(S174:S178)</f>
        <v>5</v>
      </c>
      <c r="T179" s="183">
        <f>SUM(T174:T178)</f>
        <v>0</v>
      </c>
      <c r="U179" s="185">
        <f>SUM(U174:U178)</f>
        <v>0</v>
      </c>
      <c r="V179" s="742"/>
      <c r="W179" s="183">
        <f>SUM(W174:W178)</f>
        <v>2167.75</v>
      </c>
      <c r="X179" s="742"/>
      <c r="Y179" s="742"/>
      <c r="Z179" s="183">
        <f t="shared" ref="Z179:AV179" si="233">SUM(Z174:Z178)</f>
        <v>0</v>
      </c>
      <c r="AA179" s="183">
        <f t="shared" si="233"/>
        <v>13822.5</v>
      </c>
      <c r="AB179" s="183">
        <f t="shared" si="233"/>
        <v>37667.75</v>
      </c>
      <c r="AC179" s="183">
        <f t="shared" si="233"/>
        <v>0</v>
      </c>
      <c r="AD179" s="183">
        <f>SUM(AD174:AD178)</f>
        <v>37667.75</v>
      </c>
      <c r="AE179" s="183">
        <f t="shared" si="233"/>
        <v>37667.75</v>
      </c>
      <c r="AF179" s="183">
        <f t="shared" si="233"/>
        <v>0</v>
      </c>
      <c r="AG179" s="183">
        <f t="shared" si="233"/>
        <v>35500</v>
      </c>
      <c r="AH179" s="183">
        <f t="shared" si="233"/>
        <v>13822.5</v>
      </c>
      <c r="AI179" s="183">
        <f t="shared" si="233"/>
        <v>18850</v>
      </c>
      <c r="AJ179" s="183">
        <f t="shared" si="233"/>
        <v>0</v>
      </c>
      <c r="AK179" s="183">
        <f t="shared" si="233"/>
        <v>21677.5</v>
      </c>
      <c r="AL179" s="183">
        <f t="shared" si="233"/>
        <v>0</v>
      </c>
      <c r="AM179" s="183">
        <f t="shared" si="233"/>
        <v>2827.5</v>
      </c>
      <c r="AN179" s="183">
        <f t="shared" si="233"/>
        <v>0</v>
      </c>
      <c r="AO179" s="183">
        <f t="shared" si="233"/>
        <v>0</v>
      </c>
      <c r="AP179" s="183">
        <f t="shared" si="233"/>
        <v>0</v>
      </c>
      <c r="AQ179" s="183">
        <f t="shared" si="233"/>
        <v>13822.5</v>
      </c>
      <c r="AR179" s="183">
        <f t="shared" si="233"/>
        <v>2167.75</v>
      </c>
      <c r="AS179" s="183">
        <f t="shared" si="233"/>
        <v>0</v>
      </c>
      <c r="AT179" s="183">
        <f t="shared" si="233"/>
        <v>21677.5</v>
      </c>
      <c r="AU179" s="183">
        <f t="shared" si="233"/>
        <v>0</v>
      </c>
      <c r="AV179" s="183">
        <f t="shared" si="233"/>
        <v>0</v>
      </c>
      <c r="AW179" s="183">
        <f>SUM(AW174:AW178)</f>
        <v>21677.5</v>
      </c>
      <c r="AX179" s="251"/>
      <c r="AY179" s="839"/>
      <c r="AZ179" s="838"/>
      <c r="BA179" s="839"/>
    </row>
    <row r="180" spans="2:53" s="76" customFormat="1">
      <c r="B180" s="703"/>
      <c r="C180" s="180" t="s">
        <v>1278</v>
      </c>
      <c r="D180" s="207"/>
      <c r="E180" s="194"/>
      <c r="F180" s="193"/>
      <c r="G180" s="185">
        <f>G164+G172+G179</f>
        <v>58978</v>
      </c>
      <c r="H180" s="753"/>
      <c r="I180" s="185"/>
      <c r="J180" s="753"/>
      <c r="K180" s="185"/>
      <c r="L180" s="185"/>
      <c r="M180" s="753"/>
      <c r="N180" s="185"/>
      <c r="O180" s="753"/>
      <c r="P180" s="185">
        <f t="shared" ref="P180:AV180" si="234">P164+P172+P179</f>
        <v>8846.7000000000007</v>
      </c>
      <c r="Q180" s="185"/>
      <c r="R180" s="185">
        <f t="shared" si="234"/>
        <v>67824.7</v>
      </c>
      <c r="S180" s="183">
        <f t="shared" si="234"/>
        <v>11.75</v>
      </c>
      <c r="T180" s="183">
        <f t="shared" si="234"/>
        <v>0</v>
      </c>
      <c r="U180" s="185"/>
      <c r="V180" s="753"/>
      <c r="W180" s="185">
        <f t="shared" si="234"/>
        <v>2167.75</v>
      </c>
      <c r="X180" s="753"/>
      <c r="Y180" s="753"/>
      <c r="Z180" s="185">
        <f>Z164+Z172+Z179</f>
        <v>13241.560000000001</v>
      </c>
      <c r="AA180" s="185">
        <f t="shared" si="234"/>
        <v>13822.5</v>
      </c>
      <c r="AB180" s="185">
        <f t="shared" si="234"/>
        <v>94345.701249999998</v>
      </c>
      <c r="AC180" s="185">
        <f t="shared" si="234"/>
        <v>39322.048750000002</v>
      </c>
      <c r="AD180" s="185">
        <f>AD164+AD172+AD179</f>
        <v>133667.75</v>
      </c>
      <c r="AE180" s="185">
        <f t="shared" si="234"/>
        <v>133667.75</v>
      </c>
      <c r="AF180" s="185">
        <f t="shared" si="234"/>
        <v>39322.048750000002</v>
      </c>
      <c r="AG180" s="185">
        <f>AG164+AG172+AG179</f>
        <v>83425</v>
      </c>
      <c r="AH180" s="185">
        <f t="shared" si="234"/>
        <v>15335.86125</v>
      </c>
      <c r="AI180" s="185">
        <f t="shared" si="234"/>
        <v>57164.75</v>
      </c>
      <c r="AJ180" s="185">
        <f t="shared" si="234"/>
        <v>0</v>
      </c>
      <c r="AK180" s="185">
        <f t="shared" si="234"/>
        <v>65739.462499999994</v>
      </c>
      <c r="AL180" s="185">
        <f t="shared" si="234"/>
        <v>0</v>
      </c>
      <c r="AM180" s="185">
        <f t="shared" si="234"/>
        <v>8574.7125000000015</v>
      </c>
      <c r="AN180" s="185">
        <f t="shared" si="234"/>
        <v>0</v>
      </c>
      <c r="AO180" s="185">
        <f t="shared" si="234"/>
        <v>12615.988750000002</v>
      </c>
      <c r="AP180" s="185">
        <f t="shared" si="234"/>
        <v>0</v>
      </c>
      <c r="AQ180" s="185">
        <f t="shared" si="234"/>
        <v>13822.5</v>
      </c>
      <c r="AR180" s="185">
        <f t="shared" si="234"/>
        <v>2167.75</v>
      </c>
      <c r="AS180" s="185">
        <f t="shared" si="234"/>
        <v>0</v>
      </c>
      <c r="AT180" s="185">
        <f t="shared" si="234"/>
        <v>65739.462499999994</v>
      </c>
      <c r="AU180" s="185">
        <f t="shared" si="234"/>
        <v>0</v>
      </c>
      <c r="AV180" s="185">
        <f t="shared" si="234"/>
        <v>0</v>
      </c>
      <c r="AW180" s="185">
        <f>AW164+AW172+AW179</f>
        <v>65739.462499999994</v>
      </c>
      <c r="AX180" s="251"/>
      <c r="AY180" s="839"/>
      <c r="AZ180" s="838"/>
      <c r="BA180" s="839"/>
    </row>
    <row r="181" spans="2:53" s="76" customFormat="1">
      <c r="B181" s="703"/>
      <c r="C181" s="191" t="s">
        <v>1769</v>
      </c>
      <c r="D181" s="192"/>
      <c r="E181" s="193"/>
      <c r="F181" s="193"/>
      <c r="G181" s="193"/>
      <c r="H181" s="731"/>
      <c r="I181" s="193"/>
      <c r="J181" s="731"/>
      <c r="K181" s="193"/>
      <c r="L181" s="193"/>
      <c r="M181" s="731"/>
      <c r="N181" s="193"/>
      <c r="O181" s="731"/>
      <c r="P181" s="193"/>
      <c r="Q181" s="193"/>
      <c r="R181" s="193"/>
      <c r="S181" s="193"/>
      <c r="T181" s="193"/>
      <c r="U181" s="193"/>
      <c r="V181" s="732"/>
      <c r="W181" s="193"/>
      <c r="X181" s="732"/>
      <c r="Y181" s="732"/>
      <c r="Z181" s="193"/>
      <c r="AA181" s="193"/>
      <c r="AB181" s="193"/>
      <c r="AC181" s="195"/>
      <c r="AD181" s="195"/>
      <c r="AE181" s="195"/>
      <c r="AF181" s="195"/>
      <c r="AG181" s="195"/>
      <c r="AH181" s="195"/>
      <c r="AI181" s="203">
        <f>G181*S181</f>
        <v>0</v>
      </c>
      <c r="AJ181" s="203">
        <f>G181*T181</f>
        <v>0</v>
      </c>
      <c r="AK181" s="203">
        <f>R181*S181</f>
        <v>0</v>
      </c>
      <c r="AL181" s="203">
        <f>R181*T181</f>
        <v>0</v>
      </c>
      <c r="AM181" s="203">
        <f t="shared" ref="AM181:AN184" si="235">AK181-AI181</f>
        <v>0</v>
      </c>
      <c r="AN181" s="203">
        <f t="shared" si="235"/>
        <v>0</v>
      </c>
      <c r="AO181" s="205">
        <f>Z181*S181</f>
        <v>0</v>
      </c>
      <c r="AP181" s="205">
        <f>Z181*T181</f>
        <v>0</v>
      </c>
      <c r="AQ181" s="205">
        <f>AA181</f>
        <v>0</v>
      </c>
      <c r="AR181" s="205">
        <f>W181*S181</f>
        <v>0</v>
      </c>
      <c r="AS181" s="205">
        <f>W181*T181</f>
        <v>0</v>
      </c>
      <c r="AT181" s="209"/>
      <c r="AU181" s="209"/>
      <c r="AV181" s="203"/>
      <c r="AW181" s="251"/>
      <c r="AX181" s="251"/>
      <c r="AY181" s="839"/>
      <c r="AZ181" s="838"/>
      <c r="BA181" s="839"/>
    </row>
    <row r="182" spans="2:53" s="76" customFormat="1">
      <c r="B182" s="703"/>
      <c r="C182" s="220" t="s">
        <v>1382</v>
      </c>
      <c r="D182" s="217"/>
      <c r="E182" s="218"/>
      <c r="F182" s="218"/>
      <c r="G182" s="218"/>
      <c r="H182" s="745"/>
      <c r="I182" s="218"/>
      <c r="J182" s="745"/>
      <c r="K182" s="218"/>
      <c r="L182" s="218"/>
      <c r="M182" s="745"/>
      <c r="N182" s="218"/>
      <c r="O182" s="745"/>
      <c r="P182" s="218"/>
      <c r="Q182" s="218"/>
      <c r="R182" s="218"/>
      <c r="S182" s="218"/>
      <c r="T182" s="218"/>
      <c r="U182" s="218"/>
      <c r="V182" s="746"/>
      <c r="W182" s="218"/>
      <c r="X182" s="746"/>
      <c r="Y182" s="746"/>
      <c r="Z182" s="218"/>
      <c r="AA182" s="218"/>
      <c r="AB182" s="218"/>
      <c r="AC182" s="219"/>
      <c r="AD182" s="219"/>
      <c r="AE182" s="219"/>
      <c r="AF182" s="219"/>
      <c r="AG182" s="219"/>
      <c r="AH182" s="219"/>
      <c r="AI182" s="203">
        <f>G182*S182</f>
        <v>0</v>
      </c>
      <c r="AJ182" s="203">
        <f>G182*T182</f>
        <v>0</v>
      </c>
      <c r="AK182" s="203">
        <f>R182*S182</f>
        <v>0</v>
      </c>
      <c r="AL182" s="203">
        <f>R182*T182</f>
        <v>0</v>
      </c>
      <c r="AM182" s="203">
        <f t="shared" si="235"/>
        <v>0</v>
      </c>
      <c r="AN182" s="203">
        <f t="shared" si="235"/>
        <v>0</v>
      </c>
      <c r="AO182" s="205">
        <f>Z182*S182</f>
        <v>0</v>
      </c>
      <c r="AP182" s="205">
        <f>Z182*T182</f>
        <v>0</v>
      </c>
      <c r="AQ182" s="205">
        <f>AA182</f>
        <v>0</v>
      </c>
      <c r="AR182" s="205">
        <f>W182*S182</f>
        <v>0</v>
      </c>
      <c r="AS182" s="205">
        <f>W182*T182</f>
        <v>0</v>
      </c>
      <c r="AT182" s="209"/>
      <c r="AU182" s="209"/>
      <c r="AV182" s="203"/>
      <c r="AW182" s="251"/>
      <c r="AX182" s="251"/>
      <c r="AY182" s="839"/>
      <c r="AZ182" s="838"/>
      <c r="BA182" s="839"/>
    </row>
    <row r="183" spans="2:53" s="76" customFormat="1" ht="63">
      <c r="B183" s="703">
        <f>B178+1</f>
        <v>129</v>
      </c>
      <c r="C183" s="197" t="s">
        <v>1770</v>
      </c>
      <c r="D183" s="198" t="s">
        <v>1027</v>
      </c>
      <c r="E183" s="703" t="s">
        <v>1028</v>
      </c>
      <c r="F183" s="703">
        <v>13</v>
      </c>
      <c r="G183" s="199">
        <v>7253</v>
      </c>
      <c r="H183" s="737">
        <v>0.1</v>
      </c>
      <c r="I183" s="703">
        <f>G183*H183</f>
        <v>725.30000000000007</v>
      </c>
      <c r="J183" s="718"/>
      <c r="K183" s="703"/>
      <c r="L183" s="703"/>
      <c r="M183" s="718"/>
      <c r="N183" s="193"/>
      <c r="O183" s="718"/>
      <c r="P183" s="703"/>
      <c r="Q183" s="703"/>
      <c r="R183" s="199">
        <f>G183+I183+K183+L183+N183+P183+Q183</f>
        <v>7978.3</v>
      </c>
      <c r="S183" s="199">
        <v>1</v>
      </c>
      <c r="T183" s="199"/>
      <c r="U183" s="199"/>
      <c r="V183" s="736"/>
      <c r="W183" s="199"/>
      <c r="X183" s="718">
        <v>34</v>
      </c>
      <c r="Y183" s="737">
        <v>0.3</v>
      </c>
      <c r="Z183" s="199">
        <f>R183*Y183</f>
        <v>2393.4899999999998</v>
      </c>
      <c r="AA183" s="199"/>
      <c r="AB183" s="199">
        <f>(R183+Z183)*S183+AA183</f>
        <v>10371.790000000001</v>
      </c>
      <c r="AC183" s="738">
        <f>AF183</f>
        <v>9628.2099999999991</v>
      </c>
      <c r="AD183" s="738">
        <f>AB183+AC183</f>
        <v>20000</v>
      </c>
      <c r="AE183" s="202">
        <f>20000*S183</f>
        <v>20000</v>
      </c>
      <c r="AF183" s="202">
        <f>AE183-AB183</f>
        <v>9628.2099999999991</v>
      </c>
      <c r="AG183" s="738">
        <f>7100*S183</f>
        <v>7100</v>
      </c>
      <c r="AH183" s="202">
        <f>AB183-AG183</f>
        <v>3271.7900000000009</v>
      </c>
      <c r="AI183" s="203">
        <f>G183*S183</f>
        <v>7253</v>
      </c>
      <c r="AJ183" s="203">
        <f>G183*T183</f>
        <v>0</v>
      </c>
      <c r="AK183" s="203">
        <f>R183*S183</f>
        <v>7978.3</v>
      </c>
      <c r="AL183" s="203">
        <f>R183*T183</f>
        <v>0</v>
      </c>
      <c r="AM183" s="203">
        <f t="shared" si="235"/>
        <v>725.30000000000018</v>
      </c>
      <c r="AN183" s="203">
        <f t="shared" si="235"/>
        <v>0</v>
      </c>
      <c r="AO183" s="205">
        <f>Z183*S183</f>
        <v>2393.4899999999998</v>
      </c>
      <c r="AP183" s="205">
        <f>Z183*T183</f>
        <v>0</v>
      </c>
      <c r="AQ183" s="205">
        <f>AA183</f>
        <v>0</v>
      </c>
      <c r="AR183" s="205">
        <f>W183*S183</f>
        <v>0</v>
      </c>
      <c r="AS183" s="205">
        <f>W183*T183</f>
        <v>0</v>
      </c>
      <c r="AT183" s="209">
        <f t="shared" si="205"/>
        <v>7978.3</v>
      </c>
      <c r="AU183" s="209">
        <f t="shared" si="205"/>
        <v>0</v>
      </c>
      <c r="AV183" s="203"/>
      <c r="AW183" s="251">
        <f>R183*S183</f>
        <v>7978.3</v>
      </c>
      <c r="AX183" s="251"/>
      <c r="AY183" s="838">
        <f>AW183</f>
        <v>7978.3</v>
      </c>
      <c r="AZ183" s="838"/>
      <c r="BA183" s="839"/>
    </row>
    <row r="184" spans="2:53" s="76" customFormat="1" ht="58.5">
      <c r="B184" s="703">
        <f t="shared" si="198"/>
        <v>130</v>
      </c>
      <c r="C184" s="197" t="s">
        <v>1029</v>
      </c>
      <c r="D184" s="198" t="s">
        <v>1027</v>
      </c>
      <c r="E184" s="703" t="s">
        <v>1752</v>
      </c>
      <c r="F184" s="703">
        <v>13</v>
      </c>
      <c r="G184" s="199">
        <v>7253</v>
      </c>
      <c r="H184" s="718"/>
      <c r="I184" s="703"/>
      <c r="J184" s="718"/>
      <c r="K184" s="703"/>
      <c r="L184" s="703"/>
      <c r="M184" s="718"/>
      <c r="N184" s="703"/>
      <c r="O184" s="718"/>
      <c r="P184" s="703"/>
      <c r="Q184" s="703"/>
      <c r="R184" s="199">
        <f>G184+I184+K184+L184+N184+P184+Q184</f>
        <v>7253</v>
      </c>
      <c r="S184" s="199">
        <v>1</v>
      </c>
      <c r="T184" s="199"/>
      <c r="U184" s="703"/>
      <c r="V184" s="718"/>
      <c r="W184" s="703"/>
      <c r="X184" s="718">
        <v>29</v>
      </c>
      <c r="Y184" s="737">
        <v>0.3</v>
      </c>
      <c r="Z184" s="199">
        <f>R184*Y184</f>
        <v>2175.9</v>
      </c>
      <c r="AA184" s="199"/>
      <c r="AB184" s="199">
        <f>(R184+Z184)*S184+AA184</f>
        <v>9428.9</v>
      </c>
      <c r="AC184" s="738">
        <f>AF184</f>
        <v>10571.1</v>
      </c>
      <c r="AD184" s="738">
        <f>AB184+AC184</f>
        <v>20000</v>
      </c>
      <c r="AE184" s="202">
        <f>20000*S184</f>
        <v>20000</v>
      </c>
      <c r="AF184" s="202">
        <f>AE184-AB184</f>
        <v>10571.1</v>
      </c>
      <c r="AG184" s="738">
        <f>7100*S184</f>
        <v>7100</v>
      </c>
      <c r="AH184" s="202">
        <f>AB184-AG184</f>
        <v>2328.8999999999996</v>
      </c>
      <c r="AI184" s="203">
        <f>G184*S184</f>
        <v>7253</v>
      </c>
      <c r="AJ184" s="203">
        <f>G184*T184</f>
        <v>0</v>
      </c>
      <c r="AK184" s="203">
        <f>R184*S184</f>
        <v>7253</v>
      </c>
      <c r="AL184" s="203">
        <f>R184*T184</f>
        <v>0</v>
      </c>
      <c r="AM184" s="203">
        <f t="shared" si="235"/>
        <v>0</v>
      </c>
      <c r="AN184" s="203">
        <f t="shared" si="235"/>
        <v>0</v>
      </c>
      <c r="AO184" s="205">
        <f>Z184*S184</f>
        <v>2175.9</v>
      </c>
      <c r="AP184" s="205">
        <f>Z184*T184</f>
        <v>0</v>
      </c>
      <c r="AQ184" s="205">
        <f>AA184</f>
        <v>0</v>
      </c>
      <c r="AR184" s="205">
        <f>W184*S184</f>
        <v>0</v>
      </c>
      <c r="AS184" s="205">
        <f>W184*T184</f>
        <v>0</v>
      </c>
      <c r="AT184" s="209">
        <f t="shared" si="205"/>
        <v>7253</v>
      </c>
      <c r="AU184" s="209">
        <f t="shared" si="205"/>
        <v>0</v>
      </c>
      <c r="AV184" s="203"/>
      <c r="AW184" s="251">
        <f>R184*S184</f>
        <v>7253</v>
      </c>
      <c r="AX184" s="251"/>
      <c r="AY184" s="838">
        <f>AW184</f>
        <v>7253</v>
      </c>
      <c r="AZ184" s="838"/>
      <c r="BA184" s="839"/>
    </row>
    <row r="185" spans="2:53" s="76" customFormat="1">
      <c r="B185" s="703"/>
      <c r="C185" s="180" t="s">
        <v>1736</v>
      </c>
      <c r="D185" s="207"/>
      <c r="E185" s="193"/>
      <c r="F185" s="193"/>
      <c r="G185" s="183">
        <f>SUM(G183:G184)</f>
        <v>14506</v>
      </c>
      <c r="H185" s="752"/>
      <c r="I185" s="183"/>
      <c r="J185" s="731"/>
      <c r="K185" s="193"/>
      <c r="L185" s="193"/>
      <c r="M185" s="731"/>
      <c r="N185" s="193"/>
      <c r="O185" s="731"/>
      <c r="P185" s="193"/>
      <c r="Q185" s="193"/>
      <c r="R185" s="183">
        <f>SUM(R183:R184)</f>
        <v>15231.3</v>
      </c>
      <c r="S185" s="183">
        <f>SUM(S183:S184)</f>
        <v>2</v>
      </c>
      <c r="T185" s="183">
        <f>SUM(T183:T184)</f>
        <v>0</v>
      </c>
      <c r="U185" s="183"/>
      <c r="V185" s="742"/>
      <c r="W185" s="183"/>
      <c r="X185" s="742"/>
      <c r="Y185" s="742"/>
      <c r="Z185" s="183">
        <f t="shared" ref="Z185:AV185" si="236">SUM(Z183:Z184)</f>
        <v>4569.3899999999994</v>
      </c>
      <c r="AA185" s="183">
        <f t="shared" si="236"/>
        <v>0</v>
      </c>
      <c r="AB185" s="183">
        <f t="shared" si="236"/>
        <v>19800.690000000002</v>
      </c>
      <c r="AC185" s="183">
        <f t="shared" si="236"/>
        <v>20199.309999999998</v>
      </c>
      <c r="AD185" s="183">
        <f>SUM(AD183:AD184)</f>
        <v>40000</v>
      </c>
      <c r="AE185" s="183">
        <f t="shared" si="236"/>
        <v>40000</v>
      </c>
      <c r="AF185" s="183">
        <f t="shared" si="236"/>
        <v>20199.309999999998</v>
      </c>
      <c r="AG185" s="183">
        <f>SUM(AG183:AG184)</f>
        <v>14200</v>
      </c>
      <c r="AH185" s="183">
        <f t="shared" si="236"/>
        <v>5600.6900000000005</v>
      </c>
      <c r="AI185" s="183">
        <f t="shared" si="236"/>
        <v>14506</v>
      </c>
      <c r="AJ185" s="183">
        <f t="shared" si="236"/>
        <v>0</v>
      </c>
      <c r="AK185" s="183">
        <f t="shared" si="236"/>
        <v>15231.3</v>
      </c>
      <c r="AL185" s="183">
        <f t="shared" si="236"/>
        <v>0</v>
      </c>
      <c r="AM185" s="183">
        <f t="shared" si="236"/>
        <v>725.30000000000018</v>
      </c>
      <c r="AN185" s="183">
        <f t="shared" si="236"/>
        <v>0</v>
      </c>
      <c r="AO185" s="183">
        <f t="shared" si="236"/>
        <v>4569.3899999999994</v>
      </c>
      <c r="AP185" s="183">
        <f t="shared" si="236"/>
        <v>0</v>
      </c>
      <c r="AQ185" s="183">
        <f t="shared" si="236"/>
        <v>0</v>
      </c>
      <c r="AR185" s="183">
        <f t="shared" si="236"/>
        <v>0</v>
      </c>
      <c r="AS185" s="183">
        <f t="shared" si="236"/>
        <v>0</v>
      </c>
      <c r="AT185" s="183">
        <f t="shared" si="236"/>
        <v>15231.3</v>
      </c>
      <c r="AU185" s="183">
        <f t="shared" si="236"/>
        <v>0</v>
      </c>
      <c r="AV185" s="183">
        <f t="shared" si="236"/>
        <v>0</v>
      </c>
      <c r="AW185" s="183">
        <f>SUM(AW183:AW184)</f>
        <v>15231.3</v>
      </c>
      <c r="AX185" s="251"/>
      <c r="AY185" s="839"/>
      <c r="AZ185" s="838"/>
      <c r="BA185" s="839"/>
    </row>
    <row r="186" spans="2:53" s="76" customFormat="1">
      <c r="B186" s="703"/>
      <c r="C186" s="220" t="s">
        <v>1581</v>
      </c>
      <c r="D186" s="217"/>
      <c r="E186" s="218"/>
      <c r="F186" s="218"/>
      <c r="G186" s="218"/>
      <c r="H186" s="745"/>
      <c r="I186" s="218"/>
      <c r="J186" s="745"/>
      <c r="K186" s="218"/>
      <c r="L186" s="218"/>
      <c r="M186" s="745"/>
      <c r="N186" s="218"/>
      <c r="O186" s="745"/>
      <c r="P186" s="218"/>
      <c r="Q186" s="218"/>
      <c r="R186" s="218"/>
      <c r="S186" s="218"/>
      <c r="T186" s="218"/>
      <c r="U186" s="218"/>
      <c r="V186" s="746"/>
      <c r="W186" s="218"/>
      <c r="X186" s="746"/>
      <c r="Y186" s="746"/>
      <c r="Z186" s="218"/>
      <c r="AA186" s="218"/>
      <c r="AB186" s="218"/>
      <c r="AC186" s="219"/>
      <c r="AD186" s="219"/>
      <c r="AE186" s="219"/>
      <c r="AF186" s="219"/>
      <c r="AG186" s="219"/>
      <c r="AH186" s="219"/>
      <c r="AI186" s="203"/>
      <c r="AJ186" s="203"/>
      <c r="AK186" s="203"/>
      <c r="AL186" s="203"/>
      <c r="AM186" s="203"/>
      <c r="AN186" s="203"/>
      <c r="AO186" s="205"/>
      <c r="AP186" s="205"/>
      <c r="AQ186" s="205"/>
      <c r="AR186" s="205"/>
      <c r="AS186" s="205"/>
      <c r="AT186" s="209"/>
      <c r="AU186" s="209"/>
      <c r="AV186" s="203"/>
      <c r="AW186" s="251"/>
      <c r="AX186" s="251"/>
      <c r="AY186" s="839"/>
      <c r="AZ186" s="838"/>
      <c r="BA186" s="839"/>
    </row>
    <row r="187" spans="2:53" s="76" customFormat="1" ht="63">
      <c r="B187" s="703">
        <f>B184+1</f>
        <v>131</v>
      </c>
      <c r="C187" s="197" t="s">
        <v>1080</v>
      </c>
      <c r="D187" s="198" t="s">
        <v>1365</v>
      </c>
      <c r="E187" s="703" t="s">
        <v>1114</v>
      </c>
      <c r="F187" s="703">
        <v>8</v>
      </c>
      <c r="G187" s="199">
        <v>5240</v>
      </c>
      <c r="H187" s="737">
        <v>0.1</v>
      </c>
      <c r="I187" s="703">
        <f>G187*H187</f>
        <v>524</v>
      </c>
      <c r="J187" s="741"/>
      <c r="K187" s="206"/>
      <c r="L187" s="206"/>
      <c r="M187" s="741"/>
      <c r="N187" s="206"/>
      <c r="O187" s="741"/>
      <c r="P187" s="206"/>
      <c r="Q187" s="206"/>
      <c r="R187" s="199">
        <f>G187+I187+K187+L187+N187+P187+Q187</f>
        <v>5764</v>
      </c>
      <c r="S187" s="199">
        <v>1</v>
      </c>
      <c r="T187" s="206"/>
      <c r="U187" s="206"/>
      <c r="V187" s="741"/>
      <c r="W187" s="206"/>
      <c r="X187" s="718">
        <v>20</v>
      </c>
      <c r="Y187" s="737">
        <v>0.3</v>
      </c>
      <c r="Z187" s="199">
        <f t="shared" ref="Z187:Z193" si="237">R187*Y187</f>
        <v>1729.2</v>
      </c>
      <c r="AA187" s="199"/>
      <c r="AB187" s="199">
        <f t="shared" ref="AB187:AB193" si="238">(R187+Z187)*S187+AA187</f>
        <v>7493.2</v>
      </c>
      <c r="AC187" s="738">
        <f t="shared" ref="AC187:AC193" si="239">AF187</f>
        <v>6006.8</v>
      </c>
      <c r="AD187" s="738">
        <f t="shared" ref="AD187:AD193" si="240">AB187+AC187</f>
        <v>13500</v>
      </c>
      <c r="AE187" s="202">
        <f t="shared" ref="AE187:AE193" si="241">13500*S187</f>
        <v>13500</v>
      </c>
      <c r="AF187" s="202">
        <f t="shared" ref="AF187:AF193" si="242">AE187-AB187</f>
        <v>6006.8</v>
      </c>
      <c r="AG187" s="738">
        <f>7100*S187</f>
        <v>7100</v>
      </c>
      <c r="AH187" s="202">
        <f t="shared" ref="AH187:AH193" si="243">AG187-(R187*S187)-Z187</f>
        <v>-393.20000000000005</v>
      </c>
      <c r="AI187" s="203">
        <f t="shared" ref="AI187:AI193" si="244">G187*S187</f>
        <v>5240</v>
      </c>
      <c r="AJ187" s="203">
        <f t="shared" ref="AJ187:AJ193" si="245">G187*T187</f>
        <v>0</v>
      </c>
      <c r="AK187" s="203">
        <f t="shared" ref="AK187:AK193" si="246">R187*S187</f>
        <v>5764</v>
      </c>
      <c r="AL187" s="203">
        <f t="shared" ref="AL187:AL193" si="247">R187*T187</f>
        <v>0</v>
      </c>
      <c r="AM187" s="203">
        <f t="shared" ref="AM187:AN193" si="248">AK187-AI187</f>
        <v>524</v>
      </c>
      <c r="AN187" s="203">
        <f t="shared" si="248"/>
        <v>0</v>
      </c>
      <c r="AO187" s="205">
        <f t="shared" ref="AO187:AO193" si="249">Z187*S187</f>
        <v>1729.2</v>
      </c>
      <c r="AP187" s="205">
        <f t="shared" ref="AP187:AP193" si="250">Z187*T187</f>
        <v>0</v>
      </c>
      <c r="AQ187" s="205">
        <f t="shared" ref="AQ187:AQ193" si="251">AA187</f>
        <v>0</v>
      </c>
      <c r="AR187" s="205">
        <f t="shared" ref="AR187:AR193" si="252">W187*S187</f>
        <v>0</v>
      </c>
      <c r="AS187" s="205">
        <f t="shared" ref="AS187:AS193" si="253">W187*T187</f>
        <v>0</v>
      </c>
      <c r="AT187" s="209">
        <f t="shared" si="205"/>
        <v>5764</v>
      </c>
      <c r="AU187" s="209">
        <f t="shared" si="205"/>
        <v>0</v>
      </c>
      <c r="AV187" s="203"/>
      <c r="AW187" s="251">
        <f t="shared" ref="AW187:AW193" si="254">R187*S187</f>
        <v>5764</v>
      </c>
      <c r="AX187" s="251"/>
      <c r="AY187" s="838">
        <f t="shared" ref="AY187:AY193" si="255">AW187</f>
        <v>5764</v>
      </c>
      <c r="AZ187" s="838"/>
      <c r="BA187" s="839"/>
    </row>
    <row r="188" spans="2:53" s="76" customFormat="1" ht="63">
      <c r="B188" s="703">
        <f t="shared" si="198"/>
        <v>132</v>
      </c>
      <c r="C188" s="197" t="s">
        <v>1098</v>
      </c>
      <c r="D188" s="198" t="s">
        <v>178</v>
      </c>
      <c r="E188" s="703" t="s">
        <v>179</v>
      </c>
      <c r="F188" s="703">
        <v>8</v>
      </c>
      <c r="G188" s="199">
        <v>5240</v>
      </c>
      <c r="H188" s="736"/>
      <c r="I188" s="199"/>
      <c r="J188" s="736"/>
      <c r="K188" s="199"/>
      <c r="L188" s="199"/>
      <c r="M188" s="736"/>
      <c r="N188" s="199"/>
      <c r="O188" s="736"/>
      <c r="P188" s="199"/>
      <c r="Q188" s="206"/>
      <c r="R188" s="199">
        <f t="shared" ref="R188:R193" si="256">G188+I188+K188+L188+N188+P188+Q188</f>
        <v>5240</v>
      </c>
      <c r="S188" s="199">
        <v>1</v>
      </c>
      <c r="T188" s="199"/>
      <c r="U188" s="206"/>
      <c r="V188" s="741"/>
      <c r="W188" s="206"/>
      <c r="X188" s="718">
        <v>19</v>
      </c>
      <c r="Y188" s="737">
        <v>0.2</v>
      </c>
      <c r="Z188" s="199">
        <f t="shared" si="237"/>
        <v>1048</v>
      </c>
      <c r="AA188" s="199">
        <f>AH188</f>
        <v>812</v>
      </c>
      <c r="AB188" s="199">
        <f t="shared" si="238"/>
        <v>7100</v>
      </c>
      <c r="AC188" s="738">
        <f t="shared" si="239"/>
        <v>6400</v>
      </c>
      <c r="AD188" s="738">
        <f t="shared" si="240"/>
        <v>13500</v>
      </c>
      <c r="AE188" s="202">
        <f t="shared" si="241"/>
        <v>13500</v>
      </c>
      <c r="AF188" s="202">
        <f t="shared" si="242"/>
        <v>6400</v>
      </c>
      <c r="AG188" s="738">
        <f t="shared" ref="AG188:AG193" si="257">7100*S188</f>
        <v>7100</v>
      </c>
      <c r="AH188" s="202">
        <f t="shared" si="243"/>
        <v>812</v>
      </c>
      <c r="AI188" s="203">
        <f t="shared" si="244"/>
        <v>5240</v>
      </c>
      <c r="AJ188" s="203">
        <f t="shared" si="245"/>
        <v>0</v>
      </c>
      <c r="AK188" s="203">
        <f t="shared" si="246"/>
        <v>5240</v>
      </c>
      <c r="AL188" s="203">
        <f t="shared" si="247"/>
        <v>0</v>
      </c>
      <c r="AM188" s="203">
        <f t="shared" si="248"/>
        <v>0</v>
      </c>
      <c r="AN188" s="203">
        <f t="shared" si="248"/>
        <v>0</v>
      </c>
      <c r="AO188" s="205">
        <f t="shared" si="249"/>
        <v>1048</v>
      </c>
      <c r="AP188" s="205">
        <f t="shared" si="250"/>
        <v>0</v>
      </c>
      <c r="AQ188" s="205">
        <f t="shared" si="251"/>
        <v>812</v>
      </c>
      <c r="AR188" s="205">
        <f t="shared" si="252"/>
        <v>0</v>
      </c>
      <c r="AS188" s="205">
        <f t="shared" si="253"/>
        <v>0</v>
      </c>
      <c r="AT188" s="209">
        <f t="shared" si="205"/>
        <v>5240</v>
      </c>
      <c r="AU188" s="209">
        <f t="shared" si="205"/>
        <v>0</v>
      </c>
      <c r="AV188" s="203"/>
      <c r="AW188" s="251">
        <f t="shared" si="254"/>
        <v>5240</v>
      </c>
      <c r="AX188" s="251"/>
      <c r="AY188" s="838">
        <f t="shared" si="255"/>
        <v>5240</v>
      </c>
      <c r="AZ188" s="838"/>
      <c r="BA188" s="839"/>
    </row>
    <row r="189" spans="2:53" s="76" customFormat="1" ht="63">
      <c r="B189" s="703">
        <f t="shared" si="198"/>
        <v>133</v>
      </c>
      <c r="C189" s="197" t="s">
        <v>1064</v>
      </c>
      <c r="D189" s="198" t="s">
        <v>180</v>
      </c>
      <c r="E189" s="703" t="s">
        <v>1118</v>
      </c>
      <c r="F189" s="703">
        <v>8</v>
      </c>
      <c r="G189" s="199">
        <v>5240</v>
      </c>
      <c r="H189" s="736"/>
      <c r="I189" s="199"/>
      <c r="J189" s="736"/>
      <c r="K189" s="199"/>
      <c r="L189" s="199"/>
      <c r="M189" s="736"/>
      <c r="N189" s="199"/>
      <c r="O189" s="736"/>
      <c r="P189" s="199"/>
      <c r="Q189" s="199"/>
      <c r="R189" s="199">
        <f t="shared" si="256"/>
        <v>5240</v>
      </c>
      <c r="S189" s="199">
        <v>1</v>
      </c>
      <c r="T189" s="199"/>
      <c r="U189" s="199"/>
      <c r="V189" s="736"/>
      <c r="W189" s="199"/>
      <c r="X189" s="718">
        <v>14</v>
      </c>
      <c r="Y189" s="737">
        <v>0.2</v>
      </c>
      <c r="Z189" s="199">
        <f t="shared" si="237"/>
        <v>1048</v>
      </c>
      <c r="AA189" s="199">
        <f>AH189</f>
        <v>812</v>
      </c>
      <c r="AB189" s="199">
        <f t="shared" si="238"/>
        <v>7100</v>
      </c>
      <c r="AC189" s="738">
        <f t="shared" si="239"/>
        <v>6400</v>
      </c>
      <c r="AD189" s="738">
        <f t="shared" si="240"/>
        <v>13500</v>
      </c>
      <c r="AE189" s="202">
        <f t="shared" si="241"/>
        <v>13500</v>
      </c>
      <c r="AF189" s="202">
        <f t="shared" si="242"/>
        <v>6400</v>
      </c>
      <c r="AG189" s="738">
        <f t="shared" si="257"/>
        <v>7100</v>
      </c>
      <c r="AH189" s="202">
        <f t="shared" si="243"/>
        <v>812</v>
      </c>
      <c r="AI189" s="203">
        <f t="shared" si="244"/>
        <v>5240</v>
      </c>
      <c r="AJ189" s="203">
        <f t="shared" si="245"/>
        <v>0</v>
      </c>
      <c r="AK189" s="203">
        <f t="shared" si="246"/>
        <v>5240</v>
      </c>
      <c r="AL189" s="203">
        <f t="shared" si="247"/>
        <v>0</v>
      </c>
      <c r="AM189" s="203">
        <f t="shared" si="248"/>
        <v>0</v>
      </c>
      <c r="AN189" s="203">
        <f t="shared" si="248"/>
        <v>0</v>
      </c>
      <c r="AO189" s="205">
        <f t="shared" si="249"/>
        <v>1048</v>
      </c>
      <c r="AP189" s="205">
        <f t="shared" si="250"/>
        <v>0</v>
      </c>
      <c r="AQ189" s="205">
        <f t="shared" si="251"/>
        <v>812</v>
      </c>
      <c r="AR189" s="205">
        <f t="shared" si="252"/>
        <v>0</v>
      </c>
      <c r="AS189" s="205">
        <f t="shared" si="253"/>
        <v>0</v>
      </c>
      <c r="AT189" s="209">
        <f t="shared" si="205"/>
        <v>5240</v>
      </c>
      <c r="AU189" s="209">
        <f t="shared" si="205"/>
        <v>0</v>
      </c>
      <c r="AV189" s="203"/>
      <c r="AW189" s="251">
        <f t="shared" si="254"/>
        <v>5240</v>
      </c>
      <c r="AX189" s="251"/>
      <c r="AY189" s="838">
        <f t="shared" si="255"/>
        <v>5240</v>
      </c>
      <c r="AZ189" s="838"/>
      <c r="BA189" s="839"/>
    </row>
    <row r="190" spans="2:53" s="76" customFormat="1" ht="63">
      <c r="B190" s="703">
        <f t="shared" si="198"/>
        <v>134</v>
      </c>
      <c r="C190" s="197" t="s">
        <v>1064</v>
      </c>
      <c r="D190" s="198" t="s">
        <v>1119</v>
      </c>
      <c r="E190" s="703" t="s">
        <v>1120</v>
      </c>
      <c r="F190" s="703">
        <v>9</v>
      </c>
      <c r="G190" s="199">
        <v>5527</v>
      </c>
      <c r="H190" s="736"/>
      <c r="I190" s="199"/>
      <c r="J190" s="736"/>
      <c r="K190" s="199"/>
      <c r="L190" s="199"/>
      <c r="M190" s="736"/>
      <c r="N190" s="199"/>
      <c r="O190" s="736"/>
      <c r="P190" s="199"/>
      <c r="Q190" s="199"/>
      <c r="R190" s="199">
        <f t="shared" si="256"/>
        <v>5527</v>
      </c>
      <c r="S190" s="199">
        <v>1</v>
      </c>
      <c r="T190" s="199"/>
      <c r="U190" s="199"/>
      <c r="V190" s="736"/>
      <c r="W190" s="199"/>
      <c r="X190" s="718">
        <v>17</v>
      </c>
      <c r="Y190" s="737">
        <v>0.2</v>
      </c>
      <c r="Z190" s="199">
        <f t="shared" si="237"/>
        <v>1105.4000000000001</v>
      </c>
      <c r="AA190" s="199">
        <f>AH190</f>
        <v>467.59999999999991</v>
      </c>
      <c r="AB190" s="199">
        <f t="shared" si="238"/>
        <v>7100</v>
      </c>
      <c r="AC190" s="738">
        <f t="shared" si="239"/>
        <v>6400</v>
      </c>
      <c r="AD190" s="738">
        <f t="shared" si="240"/>
        <v>13500</v>
      </c>
      <c r="AE190" s="202">
        <f t="shared" si="241"/>
        <v>13500</v>
      </c>
      <c r="AF190" s="202">
        <f t="shared" si="242"/>
        <v>6400</v>
      </c>
      <c r="AG190" s="738">
        <f t="shared" si="257"/>
        <v>7100</v>
      </c>
      <c r="AH190" s="202">
        <f t="shared" si="243"/>
        <v>467.59999999999991</v>
      </c>
      <c r="AI190" s="203">
        <f t="shared" si="244"/>
        <v>5527</v>
      </c>
      <c r="AJ190" s="203">
        <f t="shared" si="245"/>
        <v>0</v>
      </c>
      <c r="AK190" s="203">
        <f t="shared" si="246"/>
        <v>5527</v>
      </c>
      <c r="AL190" s="203">
        <f t="shared" si="247"/>
        <v>0</v>
      </c>
      <c r="AM190" s="203">
        <f t="shared" si="248"/>
        <v>0</v>
      </c>
      <c r="AN190" s="203">
        <f t="shared" si="248"/>
        <v>0</v>
      </c>
      <c r="AO190" s="205">
        <f t="shared" si="249"/>
        <v>1105.4000000000001</v>
      </c>
      <c r="AP190" s="205">
        <f t="shared" si="250"/>
        <v>0</v>
      </c>
      <c r="AQ190" s="205">
        <f t="shared" si="251"/>
        <v>467.59999999999991</v>
      </c>
      <c r="AR190" s="205">
        <f t="shared" si="252"/>
        <v>0</v>
      </c>
      <c r="AS190" s="205">
        <f t="shared" si="253"/>
        <v>0</v>
      </c>
      <c r="AT190" s="209">
        <f t="shared" si="205"/>
        <v>5527</v>
      </c>
      <c r="AU190" s="209">
        <f t="shared" si="205"/>
        <v>0</v>
      </c>
      <c r="AV190" s="203"/>
      <c r="AW190" s="251">
        <f t="shared" si="254"/>
        <v>5527</v>
      </c>
      <c r="AX190" s="251"/>
      <c r="AY190" s="838">
        <f t="shared" si="255"/>
        <v>5527</v>
      </c>
      <c r="AZ190" s="838"/>
      <c r="BA190" s="839"/>
    </row>
    <row r="191" spans="2:53" s="76" customFormat="1" ht="63">
      <c r="B191" s="703">
        <f t="shared" si="198"/>
        <v>135</v>
      </c>
      <c r="C191" s="197" t="s">
        <v>1064</v>
      </c>
      <c r="D191" s="198" t="s">
        <v>1802</v>
      </c>
      <c r="E191" s="703" t="s">
        <v>1803</v>
      </c>
      <c r="F191" s="703">
        <v>9</v>
      </c>
      <c r="G191" s="199">
        <v>5527</v>
      </c>
      <c r="H191" s="736"/>
      <c r="I191" s="199"/>
      <c r="J191" s="736"/>
      <c r="K191" s="199"/>
      <c r="L191" s="199"/>
      <c r="M191" s="736"/>
      <c r="N191" s="199"/>
      <c r="O191" s="736"/>
      <c r="P191" s="199"/>
      <c r="Q191" s="199"/>
      <c r="R191" s="199">
        <f t="shared" si="256"/>
        <v>5527</v>
      </c>
      <c r="S191" s="199">
        <v>1</v>
      </c>
      <c r="T191" s="199"/>
      <c r="U191" s="199"/>
      <c r="V191" s="736"/>
      <c r="W191" s="199"/>
      <c r="X191" s="718">
        <v>20</v>
      </c>
      <c r="Y191" s="737">
        <v>0.3</v>
      </c>
      <c r="Z191" s="199">
        <f t="shared" si="237"/>
        <v>1658.1</v>
      </c>
      <c r="AA191" s="199"/>
      <c r="AB191" s="199">
        <f t="shared" si="238"/>
        <v>7185.1</v>
      </c>
      <c r="AC191" s="738">
        <f t="shared" si="239"/>
        <v>6314.9</v>
      </c>
      <c r="AD191" s="738">
        <f t="shared" si="240"/>
        <v>13500</v>
      </c>
      <c r="AE191" s="202">
        <f t="shared" si="241"/>
        <v>13500</v>
      </c>
      <c r="AF191" s="202">
        <f t="shared" si="242"/>
        <v>6314.9</v>
      </c>
      <c r="AG191" s="738">
        <f t="shared" si="257"/>
        <v>7100</v>
      </c>
      <c r="AH191" s="202">
        <f t="shared" si="243"/>
        <v>-85.099999999999909</v>
      </c>
      <c r="AI191" s="203">
        <f t="shared" si="244"/>
        <v>5527</v>
      </c>
      <c r="AJ191" s="203">
        <f t="shared" si="245"/>
        <v>0</v>
      </c>
      <c r="AK191" s="203">
        <f t="shared" si="246"/>
        <v>5527</v>
      </c>
      <c r="AL191" s="203">
        <f t="shared" si="247"/>
        <v>0</v>
      </c>
      <c r="AM191" s="203">
        <f t="shared" si="248"/>
        <v>0</v>
      </c>
      <c r="AN191" s="203">
        <f t="shared" si="248"/>
        <v>0</v>
      </c>
      <c r="AO191" s="205">
        <f t="shared" si="249"/>
        <v>1658.1</v>
      </c>
      <c r="AP191" s="205">
        <f t="shared" si="250"/>
        <v>0</v>
      </c>
      <c r="AQ191" s="205">
        <f t="shared" si="251"/>
        <v>0</v>
      </c>
      <c r="AR191" s="205">
        <f t="shared" si="252"/>
        <v>0</v>
      </c>
      <c r="AS191" s="205">
        <f t="shared" si="253"/>
        <v>0</v>
      </c>
      <c r="AT191" s="209">
        <f t="shared" si="205"/>
        <v>5527</v>
      </c>
      <c r="AU191" s="209">
        <f t="shared" si="205"/>
        <v>0</v>
      </c>
      <c r="AV191" s="203"/>
      <c r="AW191" s="251">
        <f t="shared" si="254"/>
        <v>5527</v>
      </c>
      <c r="AX191" s="251"/>
      <c r="AY191" s="838">
        <f t="shared" si="255"/>
        <v>5527</v>
      </c>
      <c r="AZ191" s="838"/>
      <c r="BA191" s="839"/>
    </row>
    <row r="192" spans="2:53" s="76" customFormat="1" ht="63">
      <c r="B192" s="703">
        <f t="shared" si="198"/>
        <v>136</v>
      </c>
      <c r="C192" s="197" t="s">
        <v>1064</v>
      </c>
      <c r="D192" s="198" t="s">
        <v>181</v>
      </c>
      <c r="E192" s="703" t="s">
        <v>1122</v>
      </c>
      <c r="F192" s="703">
        <v>9</v>
      </c>
      <c r="G192" s="199">
        <v>5527</v>
      </c>
      <c r="H192" s="736"/>
      <c r="I192" s="199"/>
      <c r="J192" s="737"/>
      <c r="K192" s="201"/>
      <c r="L192" s="201"/>
      <c r="M192" s="736"/>
      <c r="N192" s="199"/>
      <c r="O192" s="736"/>
      <c r="P192" s="206"/>
      <c r="Q192" s="206"/>
      <c r="R192" s="199">
        <f t="shared" si="256"/>
        <v>5527</v>
      </c>
      <c r="S192" s="199">
        <v>1</v>
      </c>
      <c r="T192" s="199"/>
      <c r="U192" s="206"/>
      <c r="V192" s="741"/>
      <c r="W192" s="206"/>
      <c r="X192" s="718">
        <v>30</v>
      </c>
      <c r="Y192" s="737">
        <v>0.3</v>
      </c>
      <c r="Z192" s="199">
        <f t="shared" si="237"/>
        <v>1658.1</v>
      </c>
      <c r="AA192" s="199"/>
      <c r="AB192" s="199">
        <f t="shared" si="238"/>
        <v>7185.1</v>
      </c>
      <c r="AC192" s="738">
        <f t="shared" si="239"/>
        <v>6314.9</v>
      </c>
      <c r="AD192" s="738">
        <f t="shared" si="240"/>
        <v>13500</v>
      </c>
      <c r="AE192" s="202">
        <f t="shared" si="241"/>
        <v>13500</v>
      </c>
      <c r="AF192" s="202">
        <f t="shared" si="242"/>
        <v>6314.9</v>
      </c>
      <c r="AG192" s="738">
        <f t="shared" si="257"/>
        <v>7100</v>
      </c>
      <c r="AH192" s="202">
        <f t="shared" si="243"/>
        <v>-85.099999999999909</v>
      </c>
      <c r="AI192" s="203">
        <f t="shared" si="244"/>
        <v>5527</v>
      </c>
      <c r="AJ192" s="203">
        <f t="shared" si="245"/>
        <v>0</v>
      </c>
      <c r="AK192" s="203">
        <f t="shared" si="246"/>
        <v>5527</v>
      </c>
      <c r="AL192" s="203">
        <f t="shared" si="247"/>
        <v>0</v>
      </c>
      <c r="AM192" s="203">
        <f t="shared" si="248"/>
        <v>0</v>
      </c>
      <c r="AN192" s="203">
        <f t="shared" si="248"/>
        <v>0</v>
      </c>
      <c r="AO192" s="205">
        <f t="shared" si="249"/>
        <v>1658.1</v>
      </c>
      <c r="AP192" s="205">
        <f t="shared" si="250"/>
        <v>0</v>
      </c>
      <c r="AQ192" s="205">
        <f t="shared" si="251"/>
        <v>0</v>
      </c>
      <c r="AR192" s="205">
        <f t="shared" si="252"/>
        <v>0</v>
      </c>
      <c r="AS192" s="205">
        <f t="shared" si="253"/>
        <v>0</v>
      </c>
      <c r="AT192" s="209">
        <f t="shared" si="205"/>
        <v>5527</v>
      </c>
      <c r="AU192" s="209">
        <f t="shared" si="205"/>
        <v>0</v>
      </c>
      <c r="AV192" s="203"/>
      <c r="AW192" s="251">
        <f t="shared" si="254"/>
        <v>5527</v>
      </c>
      <c r="AX192" s="251"/>
      <c r="AY192" s="838">
        <f t="shared" si="255"/>
        <v>5527</v>
      </c>
      <c r="AZ192" s="838"/>
      <c r="BA192" s="839"/>
    </row>
    <row r="193" spans="2:53" s="76" customFormat="1" ht="63">
      <c r="B193" s="703">
        <f t="shared" si="198"/>
        <v>137</v>
      </c>
      <c r="C193" s="197" t="s">
        <v>1064</v>
      </c>
      <c r="D193" s="198" t="s">
        <v>1366</v>
      </c>
      <c r="E193" s="703" t="s">
        <v>1123</v>
      </c>
      <c r="F193" s="703">
        <v>9</v>
      </c>
      <c r="G193" s="199">
        <v>5527</v>
      </c>
      <c r="H193" s="736"/>
      <c r="I193" s="199"/>
      <c r="J193" s="736"/>
      <c r="K193" s="199"/>
      <c r="L193" s="199"/>
      <c r="M193" s="736"/>
      <c r="N193" s="199"/>
      <c r="O193" s="736"/>
      <c r="P193" s="199"/>
      <c r="Q193" s="199"/>
      <c r="R193" s="199">
        <f t="shared" si="256"/>
        <v>5527</v>
      </c>
      <c r="S193" s="199">
        <v>1</v>
      </c>
      <c r="T193" s="199"/>
      <c r="U193" s="199"/>
      <c r="V193" s="736"/>
      <c r="W193" s="199"/>
      <c r="X193" s="718">
        <v>31</v>
      </c>
      <c r="Y193" s="737">
        <v>0.3</v>
      </c>
      <c r="Z193" s="199">
        <f t="shared" si="237"/>
        <v>1658.1</v>
      </c>
      <c r="AA193" s="199"/>
      <c r="AB193" s="199">
        <f t="shared" si="238"/>
        <v>7185.1</v>
      </c>
      <c r="AC193" s="738">
        <f t="shared" si="239"/>
        <v>6314.9</v>
      </c>
      <c r="AD193" s="738">
        <f t="shared" si="240"/>
        <v>13500</v>
      </c>
      <c r="AE193" s="202">
        <f t="shared" si="241"/>
        <v>13500</v>
      </c>
      <c r="AF193" s="202">
        <f t="shared" si="242"/>
        <v>6314.9</v>
      </c>
      <c r="AG193" s="738">
        <f t="shared" si="257"/>
        <v>7100</v>
      </c>
      <c r="AH193" s="202">
        <f t="shared" si="243"/>
        <v>-85.099999999999909</v>
      </c>
      <c r="AI193" s="203">
        <f t="shared" si="244"/>
        <v>5527</v>
      </c>
      <c r="AJ193" s="203">
        <f t="shared" si="245"/>
        <v>0</v>
      </c>
      <c r="AK193" s="203">
        <f t="shared" si="246"/>
        <v>5527</v>
      </c>
      <c r="AL193" s="203">
        <f t="shared" si="247"/>
        <v>0</v>
      </c>
      <c r="AM193" s="203">
        <f t="shared" si="248"/>
        <v>0</v>
      </c>
      <c r="AN193" s="203">
        <f t="shared" si="248"/>
        <v>0</v>
      </c>
      <c r="AO193" s="205">
        <f t="shared" si="249"/>
        <v>1658.1</v>
      </c>
      <c r="AP193" s="205">
        <f t="shared" si="250"/>
        <v>0</v>
      </c>
      <c r="AQ193" s="205">
        <f t="shared" si="251"/>
        <v>0</v>
      </c>
      <c r="AR193" s="205">
        <f t="shared" si="252"/>
        <v>0</v>
      </c>
      <c r="AS193" s="205">
        <f t="shared" si="253"/>
        <v>0</v>
      </c>
      <c r="AT193" s="209">
        <f t="shared" si="205"/>
        <v>5527</v>
      </c>
      <c r="AU193" s="209">
        <f t="shared" si="205"/>
        <v>0</v>
      </c>
      <c r="AV193" s="203"/>
      <c r="AW193" s="251">
        <f t="shared" si="254"/>
        <v>5527</v>
      </c>
      <c r="AX193" s="251"/>
      <c r="AY193" s="838">
        <f t="shared" si="255"/>
        <v>5527</v>
      </c>
      <c r="AZ193" s="838"/>
      <c r="BA193" s="839"/>
    </row>
    <row r="194" spans="2:53" s="76" customFormat="1">
      <c r="B194" s="703"/>
      <c r="C194" s="180" t="s">
        <v>1736</v>
      </c>
      <c r="D194" s="207"/>
      <c r="E194" s="193"/>
      <c r="F194" s="193"/>
      <c r="G194" s="183">
        <f>SUM(G187:G193)</f>
        <v>37828</v>
      </c>
      <c r="H194" s="752"/>
      <c r="I194" s="183">
        <f>SUM(I187:I193)</f>
        <v>524</v>
      </c>
      <c r="J194" s="731"/>
      <c r="K194" s="193"/>
      <c r="L194" s="193"/>
      <c r="M194" s="731"/>
      <c r="N194" s="193"/>
      <c r="O194" s="731"/>
      <c r="P194" s="193"/>
      <c r="Q194" s="193"/>
      <c r="R194" s="183">
        <f>SUM(R187:R193)</f>
        <v>38352</v>
      </c>
      <c r="S194" s="183">
        <f>SUM(S187:S193)</f>
        <v>7</v>
      </c>
      <c r="T194" s="183">
        <f>SUM(T187:T193)</f>
        <v>0</v>
      </c>
      <c r="U194" s="183"/>
      <c r="V194" s="742"/>
      <c r="W194" s="183"/>
      <c r="X194" s="742"/>
      <c r="Y194" s="742"/>
      <c r="Z194" s="183">
        <f t="shared" ref="Z194:AV194" si="258">SUM(Z187:Z193)</f>
        <v>9904.9000000000015</v>
      </c>
      <c r="AA194" s="183">
        <f t="shared" si="258"/>
        <v>2091.6</v>
      </c>
      <c r="AB194" s="183">
        <f t="shared" si="258"/>
        <v>50348.5</v>
      </c>
      <c r="AC194" s="183">
        <f t="shared" si="258"/>
        <v>44151.5</v>
      </c>
      <c r="AD194" s="183">
        <f>SUM(AD187:AD193)</f>
        <v>94500</v>
      </c>
      <c r="AE194" s="183">
        <f t="shared" si="258"/>
        <v>94500</v>
      </c>
      <c r="AF194" s="183">
        <f t="shared" si="258"/>
        <v>44151.5</v>
      </c>
      <c r="AG194" s="183">
        <f>SUM(AG187:AG193)</f>
        <v>49700</v>
      </c>
      <c r="AH194" s="183">
        <f t="shared" si="258"/>
        <v>1443.1000000000001</v>
      </c>
      <c r="AI194" s="183">
        <f t="shared" si="258"/>
        <v>37828</v>
      </c>
      <c r="AJ194" s="183">
        <f t="shared" si="258"/>
        <v>0</v>
      </c>
      <c r="AK194" s="183">
        <f t="shared" si="258"/>
        <v>38352</v>
      </c>
      <c r="AL194" s="183">
        <f t="shared" si="258"/>
        <v>0</v>
      </c>
      <c r="AM194" s="183">
        <f t="shared" si="258"/>
        <v>524</v>
      </c>
      <c r="AN194" s="183">
        <f t="shared" si="258"/>
        <v>0</v>
      </c>
      <c r="AO194" s="183">
        <f t="shared" si="258"/>
        <v>9904.9000000000015</v>
      </c>
      <c r="AP194" s="183">
        <f t="shared" si="258"/>
        <v>0</v>
      </c>
      <c r="AQ194" s="183">
        <f t="shared" si="258"/>
        <v>2091.6</v>
      </c>
      <c r="AR194" s="183">
        <f t="shared" si="258"/>
        <v>0</v>
      </c>
      <c r="AS194" s="183">
        <f t="shared" si="258"/>
        <v>0</v>
      </c>
      <c r="AT194" s="183">
        <f t="shared" si="258"/>
        <v>38352</v>
      </c>
      <c r="AU194" s="183">
        <f t="shared" si="258"/>
        <v>0</v>
      </c>
      <c r="AV194" s="183">
        <f t="shared" si="258"/>
        <v>0</v>
      </c>
      <c r="AW194" s="183">
        <f>SUM(AW187:AW193)</f>
        <v>38352</v>
      </c>
      <c r="AX194" s="251"/>
      <c r="AY194" s="839"/>
      <c r="AZ194" s="838"/>
      <c r="BA194" s="839"/>
    </row>
    <row r="195" spans="2:53" s="76" customFormat="1">
      <c r="B195" s="703"/>
      <c r="C195" s="220" t="s">
        <v>1874</v>
      </c>
      <c r="D195" s="207"/>
      <c r="E195" s="193"/>
      <c r="F195" s="193"/>
      <c r="G195" s="183"/>
      <c r="H195" s="752"/>
      <c r="I195" s="183"/>
      <c r="J195" s="731"/>
      <c r="K195" s="193"/>
      <c r="L195" s="193"/>
      <c r="M195" s="731"/>
      <c r="N195" s="193"/>
      <c r="O195" s="731"/>
      <c r="P195" s="184"/>
      <c r="Q195" s="193"/>
      <c r="R195" s="183"/>
      <c r="S195" s="183"/>
      <c r="T195" s="183"/>
      <c r="U195" s="183"/>
      <c r="V195" s="742"/>
      <c r="W195" s="183"/>
      <c r="X195" s="742"/>
      <c r="Y195" s="742"/>
      <c r="Z195" s="183"/>
      <c r="AA195" s="183"/>
      <c r="AB195" s="183"/>
      <c r="AC195" s="208"/>
      <c r="AD195" s="208"/>
      <c r="AE195" s="208"/>
      <c r="AF195" s="208"/>
      <c r="AG195" s="208"/>
      <c r="AH195" s="208"/>
      <c r="AI195" s="203"/>
      <c r="AJ195" s="203"/>
      <c r="AK195" s="203"/>
      <c r="AL195" s="203"/>
      <c r="AM195" s="203"/>
      <c r="AN195" s="203"/>
      <c r="AO195" s="205"/>
      <c r="AP195" s="205"/>
      <c r="AQ195" s="205"/>
      <c r="AR195" s="205"/>
      <c r="AS195" s="205"/>
      <c r="AT195" s="209"/>
      <c r="AU195" s="209"/>
      <c r="AV195" s="203"/>
      <c r="AW195" s="251"/>
      <c r="AX195" s="251"/>
      <c r="AY195" s="839"/>
      <c r="AZ195" s="838"/>
      <c r="BA195" s="839"/>
    </row>
    <row r="196" spans="2:53" s="76" customFormat="1" ht="94.5">
      <c r="B196" s="703">
        <f>B193+1</f>
        <v>138</v>
      </c>
      <c r="C196" s="197" t="s">
        <v>1188</v>
      </c>
      <c r="D196" s="198"/>
      <c r="E196" s="703" t="s">
        <v>1814</v>
      </c>
      <c r="F196" s="703">
        <v>3</v>
      </c>
      <c r="G196" s="199">
        <v>3770</v>
      </c>
      <c r="H196" s="736"/>
      <c r="I196" s="199"/>
      <c r="J196" s="736"/>
      <c r="K196" s="199"/>
      <c r="L196" s="199"/>
      <c r="M196" s="736"/>
      <c r="N196" s="199"/>
      <c r="O196" s="736"/>
      <c r="P196" s="199"/>
      <c r="Q196" s="199"/>
      <c r="R196" s="199">
        <f>G196+I196+K196+L196+N196+P196+Q196</f>
        <v>3770</v>
      </c>
      <c r="S196" s="199">
        <v>1</v>
      </c>
      <c r="T196" s="206"/>
      <c r="U196" s="206"/>
      <c r="V196" s="737">
        <v>0.1</v>
      </c>
      <c r="W196" s="199">
        <f>R196*V196</f>
        <v>377</v>
      </c>
      <c r="X196" s="718"/>
      <c r="Y196" s="737"/>
      <c r="Z196" s="199"/>
      <c r="AA196" s="199">
        <f>AH196</f>
        <v>3330</v>
      </c>
      <c r="AB196" s="199">
        <f>(R196+Z196+U196+W196)*S196+AA196</f>
        <v>7477</v>
      </c>
      <c r="AC196" s="738">
        <f>AF196</f>
        <v>0</v>
      </c>
      <c r="AD196" s="738">
        <f>AB196+AC196</f>
        <v>7477</v>
      </c>
      <c r="AE196" s="202">
        <f>AB196</f>
        <v>7477</v>
      </c>
      <c r="AF196" s="202">
        <f>AE196-AB196</f>
        <v>0</v>
      </c>
      <c r="AG196" s="738">
        <f>7100*S196</f>
        <v>7100</v>
      </c>
      <c r="AH196" s="202">
        <f>AG196-(R196*S196)</f>
        <v>3330</v>
      </c>
      <c r="AI196" s="203">
        <f>G196*S196</f>
        <v>3770</v>
      </c>
      <c r="AJ196" s="203">
        <f>G196*T196</f>
        <v>0</v>
      </c>
      <c r="AK196" s="203">
        <f>R196*S196</f>
        <v>3770</v>
      </c>
      <c r="AL196" s="203">
        <f>R196*T196</f>
        <v>0</v>
      </c>
      <c r="AM196" s="203">
        <f t="shared" ref="AM196:AN200" si="259">AK196-AI196</f>
        <v>0</v>
      </c>
      <c r="AN196" s="203">
        <f t="shared" si="259"/>
        <v>0</v>
      </c>
      <c r="AO196" s="205">
        <f>Z196*S196</f>
        <v>0</v>
      </c>
      <c r="AP196" s="205">
        <f>Z196*T196</f>
        <v>0</v>
      </c>
      <c r="AQ196" s="205">
        <f>AA196</f>
        <v>3330</v>
      </c>
      <c r="AR196" s="205">
        <f>W196*S196</f>
        <v>377</v>
      </c>
      <c r="AS196" s="205">
        <f>W196*T196</f>
        <v>0</v>
      </c>
      <c r="AT196" s="209">
        <f t="shared" si="205"/>
        <v>3770</v>
      </c>
      <c r="AU196" s="209">
        <f t="shared" si="205"/>
        <v>0</v>
      </c>
      <c r="AV196" s="203"/>
      <c r="AW196" s="251">
        <f>R196*S196</f>
        <v>3770</v>
      </c>
      <c r="AX196" s="251"/>
      <c r="AY196" s="838">
        <f>AW196</f>
        <v>3770</v>
      </c>
      <c r="AZ196" s="838"/>
      <c r="BA196" s="839"/>
    </row>
    <row r="197" spans="2:53" s="76" customFormat="1" ht="94.5">
      <c r="B197" s="703">
        <f t="shared" si="198"/>
        <v>139</v>
      </c>
      <c r="C197" s="197" t="s">
        <v>1188</v>
      </c>
      <c r="D197" s="198"/>
      <c r="E197" s="703" t="s">
        <v>1202</v>
      </c>
      <c r="F197" s="703">
        <v>3</v>
      </c>
      <c r="G197" s="199">
        <v>3770</v>
      </c>
      <c r="H197" s="736"/>
      <c r="I197" s="199"/>
      <c r="J197" s="736"/>
      <c r="K197" s="199"/>
      <c r="L197" s="199"/>
      <c r="M197" s="736"/>
      <c r="N197" s="199"/>
      <c r="O197" s="736"/>
      <c r="P197" s="199"/>
      <c r="Q197" s="199"/>
      <c r="R197" s="199">
        <f>G197+I197+K197+L197+N197+P197+Q197</f>
        <v>3770</v>
      </c>
      <c r="S197" s="199">
        <v>1</v>
      </c>
      <c r="T197" s="199"/>
      <c r="U197" s="199"/>
      <c r="V197" s="737">
        <v>0.1</v>
      </c>
      <c r="W197" s="199">
        <f>R197*V197</f>
        <v>377</v>
      </c>
      <c r="X197" s="718"/>
      <c r="Y197" s="737"/>
      <c r="Z197" s="199"/>
      <c r="AA197" s="199">
        <f>AH197</f>
        <v>3330</v>
      </c>
      <c r="AB197" s="199">
        <f>(R197+Z197+U197+W197)*S197+AA197</f>
        <v>7477</v>
      </c>
      <c r="AC197" s="738">
        <f>AF197</f>
        <v>0</v>
      </c>
      <c r="AD197" s="738">
        <f>AB197+AC197</f>
        <v>7477</v>
      </c>
      <c r="AE197" s="202">
        <f>AB197</f>
        <v>7477</v>
      </c>
      <c r="AF197" s="202">
        <f>AE197-AB197</f>
        <v>0</v>
      </c>
      <c r="AG197" s="738">
        <f>7100*S197</f>
        <v>7100</v>
      </c>
      <c r="AH197" s="202">
        <f>AG197-(R197*S197)</f>
        <v>3330</v>
      </c>
      <c r="AI197" s="203">
        <f>G197*S197</f>
        <v>3770</v>
      </c>
      <c r="AJ197" s="203">
        <f>G197*T197</f>
        <v>0</v>
      </c>
      <c r="AK197" s="203">
        <f>R197*S197</f>
        <v>3770</v>
      </c>
      <c r="AL197" s="203">
        <f>R197*T197</f>
        <v>0</v>
      </c>
      <c r="AM197" s="203">
        <f t="shared" si="259"/>
        <v>0</v>
      </c>
      <c r="AN197" s="203">
        <f t="shared" si="259"/>
        <v>0</v>
      </c>
      <c r="AO197" s="205">
        <f>Z197*S197</f>
        <v>0</v>
      </c>
      <c r="AP197" s="205">
        <f>Z197*T197</f>
        <v>0</v>
      </c>
      <c r="AQ197" s="205">
        <f>AA197</f>
        <v>3330</v>
      </c>
      <c r="AR197" s="205">
        <f>W197*S197</f>
        <v>377</v>
      </c>
      <c r="AS197" s="205">
        <f>W197*T197</f>
        <v>0</v>
      </c>
      <c r="AT197" s="209">
        <f t="shared" si="205"/>
        <v>3770</v>
      </c>
      <c r="AU197" s="209">
        <f t="shared" si="205"/>
        <v>0</v>
      </c>
      <c r="AV197" s="203"/>
      <c r="AW197" s="251">
        <f>R197*S197</f>
        <v>3770</v>
      </c>
      <c r="AX197" s="251"/>
      <c r="AY197" s="838">
        <f>AW197</f>
        <v>3770</v>
      </c>
      <c r="AZ197" s="838"/>
      <c r="BA197" s="839"/>
    </row>
    <row r="198" spans="2:53" s="76" customFormat="1" ht="94.5">
      <c r="B198" s="703">
        <f t="shared" si="198"/>
        <v>140</v>
      </c>
      <c r="C198" s="197" t="s">
        <v>1188</v>
      </c>
      <c r="D198" s="198"/>
      <c r="E198" s="703" t="s">
        <v>1815</v>
      </c>
      <c r="F198" s="703">
        <v>3</v>
      </c>
      <c r="G198" s="199">
        <v>3770</v>
      </c>
      <c r="H198" s="736"/>
      <c r="I198" s="199"/>
      <c r="J198" s="736"/>
      <c r="K198" s="199"/>
      <c r="L198" s="199"/>
      <c r="M198" s="736"/>
      <c r="N198" s="199"/>
      <c r="O198" s="736"/>
      <c r="P198" s="199"/>
      <c r="Q198" s="199"/>
      <c r="R198" s="199">
        <f>G198+I198+K198+L198+N198+P198+Q198</f>
        <v>3770</v>
      </c>
      <c r="S198" s="199">
        <v>1</v>
      </c>
      <c r="T198" s="199"/>
      <c r="U198" s="199"/>
      <c r="V198" s="737">
        <v>0.1</v>
      </c>
      <c r="W198" s="199">
        <f>R198*V198</f>
        <v>377</v>
      </c>
      <c r="X198" s="718"/>
      <c r="Y198" s="737"/>
      <c r="Z198" s="199"/>
      <c r="AA198" s="199">
        <f>AH198</f>
        <v>3330</v>
      </c>
      <c r="AB198" s="199">
        <f>(R198+Z198+U198+W198)*S198+AA198</f>
        <v>7477</v>
      </c>
      <c r="AC198" s="738">
        <f>AF198</f>
        <v>0</v>
      </c>
      <c r="AD198" s="738">
        <f>AB198+AC198</f>
        <v>7477</v>
      </c>
      <c r="AE198" s="202">
        <f>AB198</f>
        <v>7477</v>
      </c>
      <c r="AF198" s="202">
        <f>AE198-AB198</f>
        <v>0</v>
      </c>
      <c r="AG198" s="738">
        <f>7100*S198</f>
        <v>7100</v>
      </c>
      <c r="AH198" s="202">
        <f>AG198-(R198*S198)</f>
        <v>3330</v>
      </c>
      <c r="AI198" s="203">
        <f>G198*S198</f>
        <v>3770</v>
      </c>
      <c r="AJ198" s="203">
        <f>G198*T198</f>
        <v>0</v>
      </c>
      <c r="AK198" s="203">
        <f>R198*S198</f>
        <v>3770</v>
      </c>
      <c r="AL198" s="203">
        <f>R198*T198</f>
        <v>0</v>
      </c>
      <c r="AM198" s="203">
        <f t="shared" si="259"/>
        <v>0</v>
      </c>
      <c r="AN198" s="203">
        <f t="shared" si="259"/>
        <v>0</v>
      </c>
      <c r="AO198" s="205">
        <f>Z198*S198</f>
        <v>0</v>
      </c>
      <c r="AP198" s="205">
        <f>Z198*T198</f>
        <v>0</v>
      </c>
      <c r="AQ198" s="205">
        <f>AA198</f>
        <v>3330</v>
      </c>
      <c r="AR198" s="205">
        <f>W198*S198</f>
        <v>377</v>
      </c>
      <c r="AS198" s="205">
        <f>W198*T198</f>
        <v>0</v>
      </c>
      <c r="AT198" s="209">
        <f t="shared" si="205"/>
        <v>3770</v>
      </c>
      <c r="AU198" s="209">
        <f t="shared" si="205"/>
        <v>0</v>
      </c>
      <c r="AV198" s="203"/>
      <c r="AW198" s="251">
        <f>R198*S198</f>
        <v>3770</v>
      </c>
      <c r="AX198" s="251"/>
      <c r="AY198" s="838">
        <f>AW198</f>
        <v>3770</v>
      </c>
      <c r="AZ198" s="838"/>
      <c r="BA198" s="839"/>
    </row>
    <row r="199" spans="2:53" s="76" customFormat="1" ht="94.5">
      <c r="B199" s="703">
        <f t="shared" si="198"/>
        <v>141</v>
      </c>
      <c r="C199" s="197" t="s">
        <v>1188</v>
      </c>
      <c r="D199" s="198"/>
      <c r="E199" s="703" t="s">
        <v>1207</v>
      </c>
      <c r="F199" s="703">
        <v>3</v>
      </c>
      <c r="G199" s="199">
        <v>3770</v>
      </c>
      <c r="H199" s="736"/>
      <c r="I199" s="199"/>
      <c r="J199" s="736"/>
      <c r="K199" s="199"/>
      <c r="L199" s="199"/>
      <c r="M199" s="736"/>
      <c r="N199" s="199"/>
      <c r="O199" s="736"/>
      <c r="P199" s="199"/>
      <c r="Q199" s="199"/>
      <c r="R199" s="199">
        <f>G199+I199+K199+L199+N199+P199+Q199</f>
        <v>3770</v>
      </c>
      <c r="S199" s="199">
        <v>1</v>
      </c>
      <c r="T199" s="199"/>
      <c r="U199" s="199"/>
      <c r="V199" s="737">
        <v>0.1</v>
      </c>
      <c r="W199" s="199">
        <f>R199*V199</f>
        <v>377</v>
      </c>
      <c r="X199" s="718"/>
      <c r="Y199" s="737"/>
      <c r="Z199" s="199"/>
      <c r="AA199" s="199">
        <f>AH199</f>
        <v>3330</v>
      </c>
      <c r="AB199" s="199">
        <f>(R199+Z199+U199+W199)*S199+AA199</f>
        <v>7477</v>
      </c>
      <c r="AC199" s="738">
        <f>AF199</f>
        <v>0</v>
      </c>
      <c r="AD199" s="738">
        <f>AB199+AC199</f>
        <v>7477</v>
      </c>
      <c r="AE199" s="202">
        <f>AB199</f>
        <v>7477</v>
      </c>
      <c r="AF199" s="202">
        <f>AE199-AB199</f>
        <v>0</v>
      </c>
      <c r="AG199" s="738">
        <f>7100*S199</f>
        <v>7100</v>
      </c>
      <c r="AH199" s="202">
        <f>AG199-(R199*S199)</f>
        <v>3330</v>
      </c>
      <c r="AI199" s="203">
        <f>G199*S199</f>
        <v>3770</v>
      </c>
      <c r="AJ199" s="203">
        <f>G199*T199</f>
        <v>0</v>
      </c>
      <c r="AK199" s="203">
        <f>R199*S199</f>
        <v>3770</v>
      </c>
      <c r="AL199" s="203">
        <f>R199*T199</f>
        <v>0</v>
      </c>
      <c r="AM199" s="203">
        <f t="shared" si="259"/>
        <v>0</v>
      </c>
      <c r="AN199" s="203">
        <f t="shared" si="259"/>
        <v>0</v>
      </c>
      <c r="AO199" s="205">
        <f>Z199*S199</f>
        <v>0</v>
      </c>
      <c r="AP199" s="205">
        <f>Z199*T199</f>
        <v>0</v>
      </c>
      <c r="AQ199" s="205">
        <f>AA199</f>
        <v>3330</v>
      </c>
      <c r="AR199" s="205">
        <f>W199*S199</f>
        <v>377</v>
      </c>
      <c r="AS199" s="205">
        <f>W199*T199</f>
        <v>0</v>
      </c>
      <c r="AT199" s="209">
        <f t="shared" si="205"/>
        <v>3770</v>
      </c>
      <c r="AU199" s="209">
        <f t="shared" si="205"/>
        <v>0</v>
      </c>
      <c r="AV199" s="203"/>
      <c r="AW199" s="251">
        <f>R199*S199</f>
        <v>3770</v>
      </c>
      <c r="AX199" s="251"/>
      <c r="AY199" s="838">
        <f>AW199</f>
        <v>3770</v>
      </c>
      <c r="AZ199" s="838"/>
      <c r="BA199" s="839"/>
    </row>
    <row r="200" spans="2:53" s="76" customFormat="1" ht="94.5">
      <c r="B200" s="703">
        <f t="shared" si="198"/>
        <v>142</v>
      </c>
      <c r="C200" s="197" t="s">
        <v>1188</v>
      </c>
      <c r="D200" s="198"/>
      <c r="E200" s="703" t="s">
        <v>1203</v>
      </c>
      <c r="F200" s="703">
        <v>3</v>
      </c>
      <c r="G200" s="199">
        <v>3770</v>
      </c>
      <c r="H200" s="736"/>
      <c r="I200" s="199"/>
      <c r="J200" s="736"/>
      <c r="K200" s="199"/>
      <c r="L200" s="199"/>
      <c r="M200" s="736"/>
      <c r="N200" s="199"/>
      <c r="O200" s="736"/>
      <c r="P200" s="199"/>
      <c r="Q200" s="199"/>
      <c r="R200" s="199">
        <f>G200+I200+K200+L200+N200+P200+Q200</f>
        <v>3770</v>
      </c>
      <c r="S200" s="199">
        <v>1</v>
      </c>
      <c r="T200" s="199"/>
      <c r="U200" s="199"/>
      <c r="V200" s="737">
        <v>0.1</v>
      </c>
      <c r="W200" s="199">
        <f>R200*V200</f>
        <v>377</v>
      </c>
      <c r="X200" s="718"/>
      <c r="Y200" s="737"/>
      <c r="Z200" s="199"/>
      <c r="AA200" s="199">
        <f>AH200</f>
        <v>3330</v>
      </c>
      <c r="AB200" s="199">
        <f>(R200+Z200+U200+W200)*S200+AA200</f>
        <v>7477</v>
      </c>
      <c r="AC200" s="738">
        <f>AF200</f>
        <v>0</v>
      </c>
      <c r="AD200" s="738">
        <f>AB200+AC200</f>
        <v>7477</v>
      </c>
      <c r="AE200" s="202">
        <f>AB200</f>
        <v>7477</v>
      </c>
      <c r="AF200" s="202">
        <f>AE200-AB200</f>
        <v>0</v>
      </c>
      <c r="AG200" s="738">
        <f>7100*S200</f>
        <v>7100</v>
      </c>
      <c r="AH200" s="202">
        <f>AG200-(R200*S200)</f>
        <v>3330</v>
      </c>
      <c r="AI200" s="203">
        <f>G200*S200</f>
        <v>3770</v>
      </c>
      <c r="AJ200" s="203">
        <f>G200*T200</f>
        <v>0</v>
      </c>
      <c r="AK200" s="203">
        <f>R200*S200</f>
        <v>3770</v>
      </c>
      <c r="AL200" s="203">
        <f>R200*T200</f>
        <v>0</v>
      </c>
      <c r="AM200" s="203">
        <f t="shared" si="259"/>
        <v>0</v>
      </c>
      <c r="AN200" s="203">
        <f t="shared" si="259"/>
        <v>0</v>
      </c>
      <c r="AO200" s="205">
        <f>Z200*S200</f>
        <v>0</v>
      </c>
      <c r="AP200" s="205">
        <f>Z200*T200</f>
        <v>0</v>
      </c>
      <c r="AQ200" s="205">
        <f>AA200</f>
        <v>3330</v>
      </c>
      <c r="AR200" s="205">
        <f>W200*S200</f>
        <v>377</v>
      </c>
      <c r="AS200" s="205">
        <f>W200*T200</f>
        <v>0</v>
      </c>
      <c r="AT200" s="209">
        <f t="shared" si="205"/>
        <v>3770</v>
      </c>
      <c r="AU200" s="209">
        <f t="shared" si="205"/>
        <v>0</v>
      </c>
      <c r="AV200" s="203"/>
      <c r="AW200" s="251">
        <f>R200*S200</f>
        <v>3770</v>
      </c>
      <c r="AX200" s="251"/>
      <c r="AY200" s="838">
        <f>AW200</f>
        <v>3770</v>
      </c>
      <c r="AZ200" s="838"/>
      <c r="BA200" s="839"/>
    </row>
    <row r="201" spans="2:53" s="76" customFormat="1">
      <c r="B201" s="703"/>
      <c r="C201" s="180" t="s">
        <v>1736</v>
      </c>
      <c r="D201" s="223"/>
      <c r="E201" s="193"/>
      <c r="F201" s="193"/>
      <c r="G201" s="183">
        <f>SUM(G196:G200)</f>
        <v>18850</v>
      </c>
      <c r="H201" s="731"/>
      <c r="I201" s="193"/>
      <c r="J201" s="731"/>
      <c r="K201" s="193"/>
      <c r="L201" s="193"/>
      <c r="M201" s="731"/>
      <c r="N201" s="193"/>
      <c r="O201" s="731"/>
      <c r="P201" s="193"/>
      <c r="Q201" s="193"/>
      <c r="R201" s="183">
        <f>SUM(R196:R200)</f>
        <v>18850</v>
      </c>
      <c r="S201" s="183">
        <f>SUM(S196:S200)</f>
        <v>5</v>
      </c>
      <c r="T201" s="183">
        <f>SUM(T196:T200)</f>
        <v>0</v>
      </c>
      <c r="U201" s="183"/>
      <c r="V201" s="742"/>
      <c r="W201" s="183">
        <f>SUM(W196:W200)</f>
        <v>1885</v>
      </c>
      <c r="X201" s="742"/>
      <c r="Y201" s="742"/>
      <c r="Z201" s="183"/>
      <c r="AA201" s="183">
        <f>SUM(AA196:AA200)</f>
        <v>16650</v>
      </c>
      <c r="AB201" s="183">
        <f>SUM(AB196:AB200)</f>
        <v>37385</v>
      </c>
      <c r="AC201" s="183">
        <f t="shared" ref="AC201:AV201" si="260">SUM(AC196:AC200)</f>
        <v>0</v>
      </c>
      <c r="AD201" s="183">
        <f>SUM(AD196:AD200)</f>
        <v>37385</v>
      </c>
      <c r="AE201" s="183">
        <f t="shared" si="260"/>
        <v>37385</v>
      </c>
      <c r="AF201" s="183">
        <f t="shared" si="260"/>
        <v>0</v>
      </c>
      <c r="AG201" s="183">
        <f>SUM(AG196:AG200)</f>
        <v>35500</v>
      </c>
      <c r="AH201" s="183">
        <f t="shared" si="260"/>
        <v>16650</v>
      </c>
      <c r="AI201" s="183">
        <f t="shared" si="260"/>
        <v>18850</v>
      </c>
      <c r="AJ201" s="183">
        <f t="shared" si="260"/>
        <v>0</v>
      </c>
      <c r="AK201" s="183">
        <f t="shared" si="260"/>
        <v>18850</v>
      </c>
      <c r="AL201" s="183">
        <f t="shared" si="260"/>
        <v>0</v>
      </c>
      <c r="AM201" s="183">
        <f t="shared" si="260"/>
        <v>0</v>
      </c>
      <c r="AN201" s="183">
        <f t="shared" si="260"/>
        <v>0</v>
      </c>
      <c r="AO201" s="183">
        <f t="shared" si="260"/>
        <v>0</v>
      </c>
      <c r="AP201" s="183">
        <f t="shared" si="260"/>
        <v>0</v>
      </c>
      <c r="AQ201" s="183">
        <f t="shared" si="260"/>
        <v>16650</v>
      </c>
      <c r="AR201" s="183">
        <f t="shared" si="260"/>
        <v>1885</v>
      </c>
      <c r="AS201" s="183">
        <f t="shared" si="260"/>
        <v>0</v>
      </c>
      <c r="AT201" s="183">
        <f t="shared" si="260"/>
        <v>18850</v>
      </c>
      <c r="AU201" s="183">
        <f t="shared" si="260"/>
        <v>0</v>
      </c>
      <c r="AV201" s="183">
        <f t="shared" si="260"/>
        <v>0</v>
      </c>
      <c r="AW201" s="183">
        <f>SUM(AW196:AW200)</f>
        <v>18850</v>
      </c>
      <c r="AX201" s="251"/>
      <c r="AY201" s="839"/>
      <c r="AZ201" s="838"/>
      <c r="BA201" s="839"/>
    </row>
    <row r="202" spans="2:53" s="76" customFormat="1">
      <c r="B202" s="703"/>
      <c r="C202" s="180" t="s">
        <v>1278</v>
      </c>
      <c r="D202" s="207"/>
      <c r="E202" s="194"/>
      <c r="F202" s="193"/>
      <c r="G202" s="183">
        <f>G185+G194+G201</f>
        <v>71184</v>
      </c>
      <c r="H202" s="742"/>
      <c r="I202" s="183">
        <f t="shared" ref="I202:AV202" si="261">I185+I194+I201</f>
        <v>524</v>
      </c>
      <c r="J202" s="742"/>
      <c r="K202" s="183"/>
      <c r="L202" s="183"/>
      <c r="M202" s="742"/>
      <c r="N202" s="183"/>
      <c r="O202" s="742"/>
      <c r="P202" s="183"/>
      <c r="Q202" s="183"/>
      <c r="R202" s="183">
        <f t="shared" si="261"/>
        <v>72433.3</v>
      </c>
      <c r="S202" s="183">
        <f t="shared" si="261"/>
        <v>14</v>
      </c>
      <c r="T202" s="183">
        <f t="shared" si="261"/>
        <v>0</v>
      </c>
      <c r="U202" s="183"/>
      <c r="V202" s="742"/>
      <c r="W202" s="183">
        <f t="shared" si="261"/>
        <v>1885</v>
      </c>
      <c r="X202" s="742"/>
      <c r="Y202" s="742"/>
      <c r="Z202" s="183">
        <f t="shared" si="261"/>
        <v>14474.29</v>
      </c>
      <c r="AA202" s="183">
        <f t="shared" si="261"/>
        <v>18741.599999999999</v>
      </c>
      <c r="AB202" s="183">
        <f t="shared" si="261"/>
        <v>107534.19</v>
      </c>
      <c r="AC202" s="183">
        <f t="shared" si="261"/>
        <v>64350.81</v>
      </c>
      <c r="AD202" s="183">
        <f>AD185+AD194+AD201</f>
        <v>171885</v>
      </c>
      <c r="AE202" s="183">
        <f t="shared" si="261"/>
        <v>171885</v>
      </c>
      <c r="AF202" s="183">
        <f t="shared" si="261"/>
        <v>64350.81</v>
      </c>
      <c r="AG202" s="183">
        <f>AG185+AG194+AG201</f>
        <v>99400</v>
      </c>
      <c r="AH202" s="183">
        <f t="shared" si="261"/>
        <v>23693.79</v>
      </c>
      <c r="AI202" s="183">
        <f t="shared" si="261"/>
        <v>71184</v>
      </c>
      <c r="AJ202" s="183">
        <f t="shared" si="261"/>
        <v>0</v>
      </c>
      <c r="AK202" s="183">
        <f t="shared" si="261"/>
        <v>72433.3</v>
      </c>
      <c r="AL202" s="183">
        <f t="shared" si="261"/>
        <v>0</v>
      </c>
      <c r="AM202" s="183">
        <f t="shared" si="261"/>
        <v>1249.3000000000002</v>
      </c>
      <c r="AN202" s="183">
        <f t="shared" si="261"/>
        <v>0</v>
      </c>
      <c r="AO202" s="183">
        <f t="shared" si="261"/>
        <v>14474.29</v>
      </c>
      <c r="AP202" s="183">
        <f t="shared" si="261"/>
        <v>0</v>
      </c>
      <c r="AQ202" s="183">
        <f t="shared" si="261"/>
        <v>18741.599999999999</v>
      </c>
      <c r="AR202" s="183">
        <f t="shared" si="261"/>
        <v>1885</v>
      </c>
      <c r="AS202" s="183">
        <f t="shared" si="261"/>
        <v>0</v>
      </c>
      <c r="AT202" s="183">
        <f t="shared" si="261"/>
        <v>72433.3</v>
      </c>
      <c r="AU202" s="183">
        <f t="shared" si="261"/>
        <v>0</v>
      </c>
      <c r="AV202" s="183">
        <f t="shared" si="261"/>
        <v>0</v>
      </c>
      <c r="AW202" s="183">
        <f>AW185+AW194+AW201</f>
        <v>72433.3</v>
      </c>
      <c r="AX202" s="251"/>
      <c r="AY202" s="839"/>
      <c r="AZ202" s="838"/>
      <c r="BA202" s="839"/>
    </row>
    <row r="203" spans="2:53" s="76" customFormat="1">
      <c r="B203" s="703"/>
      <c r="C203" s="191" t="s">
        <v>1771</v>
      </c>
      <c r="D203" s="192"/>
      <c r="E203" s="193"/>
      <c r="F203" s="193"/>
      <c r="G203" s="193"/>
      <c r="H203" s="731"/>
      <c r="I203" s="193"/>
      <c r="J203" s="731"/>
      <c r="K203" s="193"/>
      <c r="L203" s="193"/>
      <c r="M203" s="731"/>
      <c r="N203" s="193"/>
      <c r="O203" s="731"/>
      <c r="P203" s="193"/>
      <c r="Q203" s="193"/>
      <c r="R203" s="193"/>
      <c r="S203" s="193"/>
      <c r="T203" s="193"/>
      <c r="U203" s="193"/>
      <c r="V203" s="732"/>
      <c r="W203" s="193"/>
      <c r="X203" s="732"/>
      <c r="Y203" s="732"/>
      <c r="Z203" s="193"/>
      <c r="AA203" s="193"/>
      <c r="AB203" s="193"/>
      <c r="AC203" s="195"/>
      <c r="AD203" s="195"/>
      <c r="AE203" s="195"/>
      <c r="AF203" s="195"/>
      <c r="AG203" s="195"/>
      <c r="AH203" s="195"/>
      <c r="AI203" s="203">
        <f>G203*S203</f>
        <v>0</v>
      </c>
      <c r="AJ203" s="203">
        <f>G203*T203</f>
        <v>0</v>
      </c>
      <c r="AK203" s="203">
        <f>R203*S203</f>
        <v>0</v>
      </c>
      <c r="AL203" s="203">
        <f>R203*T203</f>
        <v>0</v>
      </c>
      <c r="AM203" s="203">
        <f t="shared" ref="AM203:AN206" si="262">AK203-AI203</f>
        <v>0</v>
      </c>
      <c r="AN203" s="203">
        <f t="shared" si="262"/>
        <v>0</v>
      </c>
      <c r="AO203" s="205">
        <f>Z203*S203</f>
        <v>0</v>
      </c>
      <c r="AP203" s="205">
        <f>Z203*T203</f>
        <v>0</v>
      </c>
      <c r="AQ203" s="205">
        <f>AA203</f>
        <v>0</v>
      </c>
      <c r="AR203" s="205">
        <f>W203*S203</f>
        <v>0</v>
      </c>
      <c r="AS203" s="205">
        <f>W203*T203</f>
        <v>0</v>
      </c>
      <c r="AT203" s="209"/>
      <c r="AU203" s="209"/>
      <c r="AV203" s="203"/>
      <c r="AW203" s="251"/>
      <c r="AX203" s="251"/>
      <c r="AY203" s="839"/>
      <c r="AZ203" s="838"/>
      <c r="BA203" s="839"/>
    </row>
    <row r="204" spans="2:53" s="76" customFormat="1">
      <c r="B204" s="703"/>
      <c r="C204" s="220" t="s">
        <v>1382</v>
      </c>
      <c r="D204" s="217"/>
      <c r="E204" s="218"/>
      <c r="F204" s="218"/>
      <c r="G204" s="218"/>
      <c r="H204" s="745"/>
      <c r="I204" s="218"/>
      <c r="J204" s="745"/>
      <c r="K204" s="218"/>
      <c r="L204" s="218"/>
      <c r="M204" s="745"/>
      <c r="N204" s="218"/>
      <c r="O204" s="745"/>
      <c r="P204" s="218"/>
      <c r="Q204" s="218"/>
      <c r="R204" s="218"/>
      <c r="S204" s="218"/>
      <c r="T204" s="218"/>
      <c r="U204" s="218"/>
      <c r="V204" s="746"/>
      <c r="W204" s="218"/>
      <c r="X204" s="746"/>
      <c r="Y204" s="746"/>
      <c r="Z204" s="218"/>
      <c r="AA204" s="218"/>
      <c r="AB204" s="218"/>
      <c r="AC204" s="219"/>
      <c r="AD204" s="219"/>
      <c r="AE204" s="219"/>
      <c r="AF204" s="219"/>
      <c r="AG204" s="219"/>
      <c r="AH204" s="219"/>
      <c r="AI204" s="203">
        <f>G204*S204</f>
        <v>0</v>
      </c>
      <c r="AJ204" s="203">
        <f>G204*T204</f>
        <v>0</v>
      </c>
      <c r="AK204" s="203">
        <f>R204*S204</f>
        <v>0</v>
      </c>
      <c r="AL204" s="203">
        <f>R204*T204</f>
        <v>0</v>
      </c>
      <c r="AM204" s="203">
        <f t="shared" si="262"/>
        <v>0</v>
      </c>
      <c r="AN204" s="203">
        <f t="shared" si="262"/>
        <v>0</v>
      </c>
      <c r="AO204" s="205">
        <f>Z204*S204</f>
        <v>0</v>
      </c>
      <c r="AP204" s="205">
        <f>Z204*T204</f>
        <v>0</v>
      </c>
      <c r="AQ204" s="205">
        <f>AA204</f>
        <v>0</v>
      </c>
      <c r="AR204" s="205">
        <f>W204*S204</f>
        <v>0</v>
      </c>
      <c r="AS204" s="205">
        <f>W204*T204</f>
        <v>0</v>
      </c>
      <c r="AT204" s="209"/>
      <c r="AU204" s="209"/>
      <c r="AV204" s="203"/>
      <c r="AW204" s="251"/>
      <c r="AX204" s="251"/>
      <c r="AY204" s="839"/>
      <c r="AZ204" s="838"/>
      <c r="BA204" s="839"/>
    </row>
    <row r="205" spans="2:53" s="76" customFormat="1" ht="58.5">
      <c r="B205" s="703">
        <f>B200+1</f>
        <v>143</v>
      </c>
      <c r="C205" s="197" t="s">
        <v>1030</v>
      </c>
      <c r="D205" s="198" t="s">
        <v>1031</v>
      </c>
      <c r="E205" s="703" t="s">
        <v>1032</v>
      </c>
      <c r="F205" s="703">
        <v>13</v>
      </c>
      <c r="G205" s="199">
        <v>7253</v>
      </c>
      <c r="H205" s="737">
        <v>0.1</v>
      </c>
      <c r="I205" s="703">
        <f>G205*H205</f>
        <v>725.30000000000007</v>
      </c>
      <c r="J205" s="718"/>
      <c r="K205" s="703"/>
      <c r="L205" s="703"/>
      <c r="M205" s="718"/>
      <c r="N205" s="703"/>
      <c r="O205" s="718"/>
      <c r="P205" s="703"/>
      <c r="Q205" s="703"/>
      <c r="R205" s="199">
        <f>G205+I205+K205+L205+N205+P205+Q205</f>
        <v>7978.3</v>
      </c>
      <c r="S205" s="199">
        <v>1</v>
      </c>
      <c r="T205" s="199"/>
      <c r="U205" s="703"/>
      <c r="V205" s="718"/>
      <c r="W205" s="703"/>
      <c r="X205" s="718">
        <v>34</v>
      </c>
      <c r="Y205" s="737">
        <v>0.3</v>
      </c>
      <c r="Z205" s="199">
        <f>R205*Y205</f>
        <v>2393.4899999999998</v>
      </c>
      <c r="AA205" s="199"/>
      <c r="AB205" s="199">
        <f>R205+Z205</f>
        <v>10371.790000000001</v>
      </c>
      <c r="AC205" s="738">
        <f>AF205</f>
        <v>9628.2099999999991</v>
      </c>
      <c r="AD205" s="738">
        <f>AB205+AC205</f>
        <v>20000</v>
      </c>
      <c r="AE205" s="202">
        <f>20000*S205</f>
        <v>20000</v>
      </c>
      <c r="AF205" s="202">
        <f>AE205-AB205</f>
        <v>9628.2099999999991</v>
      </c>
      <c r="AG205" s="738">
        <f>7100*S205</f>
        <v>7100</v>
      </c>
      <c r="AH205" s="202">
        <f>AB205-AG205</f>
        <v>3271.7900000000009</v>
      </c>
      <c r="AI205" s="203">
        <f>G205*S205</f>
        <v>7253</v>
      </c>
      <c r="AJ205" s="203">
        <f>G205*T205</f>
        <v>0</v>
      </c>
      <c r="AK205" s="203">
        <f>R205*S205</f>
        <v>7978.3</v>
      </c>
      <c r="AL205" s="203">
        <f>R205*T205</f>
        <v>0</v>
      </c>
      <c r="AM205" s="203">
        <f t="shared" si="262"/>
        <v>725.30000000000018</v>
      </c>
      <c r="AN205" s="203">
        <f t="shared" si="262"/>
        <v>0</v>
      </c>
      <c r="AO205" s="205">
        <f>Z205*S205</f>
        <v>2393.4899999999998</v>
      </c>
      <c r="AP205" s="205">
        <f>Z205*T205</f>
        <v>0</v>
      </c>
      <c r="AQ205" s="205">
        <f>AA205</f>
        <v>0</v>
      </c>
      <c r="AR205" s="205">
        <f>W205*S205</f>
        <v>0</v>
      </c>
      <c r="AS205" s="205">
        <f>W205*T205</f>
        <v>0</v>
      </c>
      <c r="AT205" s="209">
        <f t="shared" si="205"/>
        <v>7978.3</v>
      </c>
      <c r="AU205" s="209">
        <f t="shared" si="205"/>
        <v>0</v>
      </c>
      <c r="AV205" s="203"/>
      <c r="AW205" s="251">
        <f>R205*S205</f>
        <v>7978.3</v>
      </c>
      <c r="AX205" s="251"/>
      <c r="AY205" s="838">
        <f>AW205</f>
        <v>7978.3</v>
      </c>
      <c r="AZ205" s="838"/>
      <c r="BA205" s="839"/>
    </row>
    <row r="206" spans="2:53" s="76" customFormat="1" ht="58.5">
      <c r="B206" s="703">
        <f t="shared" si="198"/>
        <v>144</v>
      </c>
      <c r="C206" s="197" t="s">
        <v>1033</v>
      </c>
      <c r="D206" s="198" t="s">
        <v>1358</v>
      </c>
      <c r="E206" s="703" t="s">
        <v>1034</v>
      </c>
      <c r="F206" s="703">
        <v>12</v>
      </c>
      <c r="G206" s="199">
        <v>6773</v>
      </c>
      <c r="H206" s="736"/>
      <c r="I206" s="199"/>
      <c r="J206" s="736"/>
      <c r="K206" s="199"/>
      <c r="L206" s="199"/>
      <c r="M206" s="736"/>
      <c r="N206" s="199"/>
      <c r="O206" s="736"/>
      <c r="P206" s="199"/>
      <c r="Q206" s="199"/>
      <c r="R206" s="199">
        <f>G206+I206+K206+L206+N206+P206+Q206</f>
        <v>6773</v>
      </c>
      <c r="S206" s="199">
        <v>1</v>
      </c>
      <c r="T206" s="199"/>
      <c r="U206" s="199"/>
      <c r="V206" s="736"/>
      <c r="W206" s="199"/>
      <c r="X206" s="718">
        <v>43</v>
      </c>
      <c r="Y206" s="737">
        <v>0.3</v>
      </c>
      <c r="Z206" s="199">
        <f>R206*Y206</f>
        <v>2031.8999999999999</v>
      </c>
      <c r="AA206" s="199"/>
      <c r="AB206" s="199">
        <f>(R206+Z206)*S206</f>
        <v>8804.9</v>
      </c>
      <c r="AC206" s="738">
        <f>AF206</f>
        <v>11195.1</v>
      </c>
      <c r="AD206" s="738">
        <f>AB206+AC206</f>
        <v>20000</v>
      </c>
      <c r="AE206" s="202">
        <f>20000*S206</f>
        <v>20000</v>
      </c>
      <c r="AF206" s="202">
        <f>AE206-AB206</f>
        <v>11195.1</v>
      </c>
      <c r="AG206" s="738">
        <f>7100*S206</f>
        <v>7100</v>
      </c>
      <c r="AH206" s="202">
        <f>AB206-AG206</f>
        <v>1704.8999999999996</v>
      </c>
      <c r="AI206" s="203">
        <f>G206*S206</f>
        <v>6773</v>
      </c>
      <c r="AJ206" s="203">
        <f>G206*T206</f>
        <v>0</v>
      </c>
      <c r="AK206" s="203">
        <f>R206*S206</f>
        <v>6773</v>
      </c>
      <c r="AL206" s="203">
        <f>R206*T206</f>
        <v>0</v>
      </c>
      <c r="AM206" s="203">
        <f t="shared" si="262"/>
        <v>0</v>
      </c>
      <c r="AN206" s="203">
        <f t="shared" si="262"/>
        <v>0</v>
      </c>
      <c r="AO206" s="205">
        <f>Z206*S206</f>
        <v>2031.8999999999999</v>
      </c>
      <c r="AP206" s="205">
        <f>Z206*T206</f>
        <v>0</v>
      </c>
      <c r="AQ206" s="205">
        <f>AA206</f>
        <v>0</v>
      </c>
      <c r="AR206" s="205">
        <f>W206*S206</f>
        <v>0</v>
      </c>
      <c r="AS206" s="205">
        <f>W206*T206</f>
        <v>0</v>
      </c>
      <c r="AT206" s="209">
        <f t="shared" si="205"/>
        <v>6773</v>
      </c>
      <c r="AU206" s="209">
        <f t="shared" si="205"/>
        <v>0</v>
      </c>
      <c r="AV206" s="203"/>
      <c r="AW206" s="251">
        <f>R206*S206</f>
        <v>6773</v>
      </c>
      <c r="AX206" s="251"/>
      <c r="AY206" s="838">
        <f>AW206</f>
        <v>6773</v>
      </c>
      <c r="AZ206" s="838"/>
      <c r="BA206" s="839"/>
    </row>
    <row r="207" spans="2:53" s="76" customFormat="1">
      <c r="B207" s="703"/>
      <c r="C207" s="180" t="s">
        <v>1736</v>
      </c>
      <c r="D207" s="207"/>
      <c r="E207" s="193"/>
      <c r="F207" s="193"/>
      <c r="G207" s="183">
        <f>SUM(G205:G206)</f>
        <v>14026</v>
      </c>
      <c r="H207" s="752"/>
      <c r="I207" s="183">
        <f>SUM(I205:I206)</f>
        <v>725.30000000000007</v>
      </c>
      <c r="J207" s="731"/>
      <c r="K207" s="193"/>
      <c r="L207" s="193"/>
      <c r="M207" s="731"/>
      <c r="N207" s="193"/>
      <c r="O207" s="731"/>
      <c r="P207" s="193"/>
      <c r="Q207" s="193"/>
      <c r="R207" s="183">
        <f>SUM(R205:R206)</f>
        <v>14751.3</v>
      </c>
      <c r="S207" s="183">
        <f>SUM(S205:S206)</f>
        <v>2</v>
      </c>
      <c r="T207" s="183">
        <f>SUM(T205:T206)</f>
        <v>0</v>
      </c>
      <c r="U207" s="183"/>
      <c r="V207" s="742"/>
      <c r="W207" s="183"/>
      <c r="X207" s="742"/>
      <c r="Y207" s="742"/>
      <c r="Z207" s="183">
        <f t="shared" ref="Z207:AV207" si="263">SUM(Z205:Z206)</f>
        <v>4425.3899999999994</v>
      </c>
      <c r="AA207" s="183">
        <f t="shared" si="263"/>
        <v>0</v>
      </c>
      <c r="AB207" s="183">
        <f t="shared" si="263"/>
        <v>19176.690000000002</v>
      </c>
      <c r="AC207" s="183">
        <f t="shared" si="263"/>
        <v>20823.309999999998</v>
      </c>
      <c r="AD207" s="183">
        <f>SUM(AD205:AD206)</f>
        <v>40000</v>
      </c>
      <c r="AE207" s="183">
        <f t="shared" si="263"/>
        <v>40000</v>
      </c>
      <c r="AF207" s="183">
        <f t="shared" si="263"/>
        <v>20823.309999999998</v>
      </c>
      <c r="AG207" s="183">
        <f>SUM(AG205:AG206)</f>
        <v>14200</v>
      </c>
      <c r="AH207" s="183">
        <f t="shared" si="263"/>
        <v>4976.6900000000005</v>
      </c>
      <c r="AI207" s="183">
        <f t="shared" si="263"/>
        <v>14026</v>
      </c>
      <c r="AJ207" s="183">
        <f t="shared" si="263"/>
        <v>0</v>
      </c>
      <c r="AK207" s="183">
        <f t="shared" si="263"/>
        <v>14751.3</v>
      </c>
      <c r="AL207" s="183">
        <f t="shared" si="263"/>
        <v>0</v>
      </c>
      <c r="AM207" s="183">
        <f t="shared" si="263"/>
        <v>725.30000000000018</v>
      </c>
      <c r="AN207" s="183">
        <f t="shared" si="263"/>
        <v>0</v>
      </c>
      <c r="AO207" s="183">
        <f t="shared" si="263"/>
        <v>4425.3899999999994</v>
      </c>
      <c r="AP207" s="183">
        <f t="shared" si="263"/>
        <v>0</v>
      </c>
      <c r="AQ207" s="183">
        <f t="shared" si="263"/>
        <v>0</v>
      </c>
      <c r="AR207" s="183">
        <f t="shared" si="263"/>
        <v>0</v>
      </c>
      <c r="AS207" s="183">
        <f t="shared" si="263"/>
        <v>0</v>
      </c>
      <c r="AT207" s="183">
        <f t="shared" si="263"/>
        <v>14751.3</v>
      </c>
      <c r="AU207" s="183">
        <f t="shared" si="263"/>
        <v>0</v>
      </c>
      <c r="AV207" s="183">
        <f t="shared" si="263"/>
        <v>0</v>
      </c>
      <c r="AW207" s="183">
        <f>SUM(AW205:AW206)</f>
        <v>14751.3</v>
      </c>
      <c r="AX207" s="251"/>
      <c r="AY207" s="839"/>
      <c r="AZ207" s="838"/>
      <c r="BA207" s="839"/>
    </row>
    <row r="208" spans="2:53" s="76" customFormat="1">
      <c r="B208" s="703"/>
      <c r="C208" s="220" t="s">
        <v>1581</v>
      </c>
      <c r="D208" s="192"/>
      <c r="E208" s="193"/>
      <c r="F208" s="193"/>
      <c r="G208" s="193"/>
      <c r="H208" s="731"/>
      <c r="I208" s="193"/>
      <c r="J208" s="731"/>
      <c r="K208" s="193"/>
      <c r="L208" s="193"/>
      <c r="M208" s="731"/>
      <c r="N208" s="193"/>
      <c r="O208" s="731"/>
      <c r="P208" s="193"/>
      <c r="Q208" s="193"/>
      <c r="R208" s="193"/>
      <c r="S208" s="193"/>
      <c r="T208" s="193"/>
      <c r="U208" s="193"/>
      <c r="V208" s="732"/>
      <c r="W208" s="193"/>
      <c r="X208" s="732"/>
      <c r="Y208" s="732"/>
      <c r="Z208" s="193"/>
      <c r="AA208" s="193"/>
      <c r="AB208" s="193"/>
      <c r="AC208" s="195"/>
      <c r="AD208" s="195"/>
      <c r="AE208" s="195"/>
      <c r="AF208" s="195"/>
      <c r="AG208" s="195"/>
      <c r="AH208" s="195"/>
      <c r="AI208" s="203"/>
      <c r="AJ208" s="203"/>
      <c r="AK208" s="203"/>
      <c r="AL208" s="203"/>
      <c r="AM208" s="203"/>
      <c r="AN208" s="203"/>
      <c r="AO208" s="205"/>
      <c r="AP208" s="205"/>
      <c r="AQ208" s="205"/>
      <c r="AR208" s="205"/>
      <c r="AS208" s="205"/>
      <c r="AT208" s="209"/>
      <c r="AU208" s="209"/>
      <c r="AV208" s="203"/>
      <c r="AW208" s="251"/>
      <c r="AX208" s="251"/>
      <c r="AY208" s="839"/>
      <c r="AZ208" s="838"/>
      <c r="BA208" s="839"/>
    </row>
    <row r="209" spans="2:53" s="76" customFormat="1" ht="63">
      <c r="B209" s="703">
        <f>B206+1</f>
        <v>145</v>
      </c>
      <c r="C209" s="197" t="s">
        <v>1080</v>
      </c>
      <c r="D209" s="198" t="s">
        <v>1363</v>
      </c>
      <c r="E209" s="703" t="s">
        <v>1124</v>
      </c>
      <c r="F209" s="703">
        <v>9</v>
      </c>
      <c r="G209" s="199">
        <v>5527</v>
      </c>
      <c r="H209" s="737">
        <v>0.1</v>
      </c>
      <c r="I209" s="703">
        <f>G209*H209</f>
        <v>552.70000000000005</v>
      </c>
      <c r="J209" s="741"/>
      <c r="K209" s="206"/>
      <c r="L209" s="206"/>
      <c r="M209" s="741"/>
      <c r="N209" s="206"/>
      <c r="O209" s="741"/>
      <c r="P209" s="206"/>
      <c r="Q209" s="206"/>
      <c r="R209" s="199">
        <f>G209+I209+K209+L209+N209+P209+Q209</f>
        <v>6079.7</v>
      </c>
      <c r="S209" s="199">
        <v>1</v>
      </c>
      <c r="T209" s="206"/>
      <c r="U209" s="206"/>
      <c r="V209" s="741"/>
      <c r="W209" s="206"/>
      <c r="X209" s="718">
        <v>33</v>
      </c>
      <c r="Y209" s="737">
        <v>0.3</v>
      </c>
      <c r="Z209" s="199">
        <f>R209*Y209</f>
        <v>1823.9099999999999</v>
      </c>
      <c r="AA209" s="199"/>
      <c r="AB209" s="199">
        <f>(R209+Z209)*S209</f>
        <v>7903.61</v>
      </c>
      <c r="AC209" s="738">
        <f t="shared" ref="AC209:AC215" si="264">AF209</f>
        <v>5596.39</v>
      </c>
      <c r="AD209" s="738">
        <f t="shared" ref="AD209:AD215" si="265">AB209+AC209</f>
        <v>13500</v>
      </c>
      <c r="AE209" s="202">
        <f t="shared" ref="AE209:AE215" si="266">13500*S209</f>
        <v>13500</v>
      </c>
      <c r="AF209" s="202">
        <f t="shared" ref="AF209:AF215" si="267">AE209-AB209</f>
        <v>5596.39</v>
      </c>
      <c r="AG209" s="738">
        <f>7100*S209</f>
        <v>7100</v>
      </c>
      <c r="AH209" s="202"/>
      <c r="AI209" s="203">
        <f t="shared" ref="AI209:AI215" si="268">G209*S209</f>
        <v>5527</v>
      </c>
      <c r="AJ209" s="203">
        <f t="shared" ref="AJ209:AJ215" si="269">G209*T209</f>
        <v>0</v>
      </c>
      <c r="AK209" s="203">
        <f t="shared" ref="AK209:AK215" si="270">R209*S209</f>
        <v>6079.7</v>
      </c>
      <c r="AL209" s="203">
        <f t="shared" ref="AL209:AL215" si="271">R209*T209</f>
        <v>0</v>
      </c>
      <c r="AM209" s="203">
        <f t="shared" ref="AM209:AN215" si="272">AK209-AI209</f>
        <v>552.69999999999982</v>
      </c>
      <c r="AN209" s="203">
        <f t="shared" si="272"/>
        <v>0</v>
      </c>
      <c r="AO209" s="205">
        <f t="shared" ref="AO209:AO215" si="273">Z209*S209</f>
        <v>1823.9099999999999</v>
      </c>
      <c r="AP209" s="205">
        <f t="shared" ref="AP209:AP215" si="274">Z209*T209</f>
        <v>0</v>
      </c>
      <c r="AQ209" s="205">
        <f t="shared" ref="AQ209:AQ215" si="275">AA209</f>
        <v>0</v>
      </c>
      <c r="AR209" s="205">
        <f t="shared" ref="AR209:AR215" si="276">W209*S209</f>
        <v>0</v>
      </c>
      <c r="AS209" s="205">
        <f t="shared" ref="AS209:AS215" si="277">W209*T209</f>
        <v>0</v>
      </c>
      <c r="AT209" s="209">
        <f t="shared" si="205"/>
        <v>6079.7</v>
      </c>
      <c r="AU209" s="209">
        <f t="shared" si="205"/>
        <v>0</v>
      </c>
      <c r="AV209" s="203"/>
      <c r="AW209" s="251">
        <f t="shared" ref="AW209:AW214" si="278">R209*S209</f>
        <v>6079.7</v>
      </c>
      <c r="AX209" s="251"/>
      <c r="AY209" s="838">
        <f t="shared" ref="AY209:AY215" si="279">AW209</f>
        <v>6079.7</v>
      </c>
      <c r="AZ209" s="838"/>
      <c r="BA209" s="839"/>
    </row>
    <row r="210" spans="2:53" s="76" customFormat="1" ht="63">
      <c r="B210" s="703">
        <f t="shared" ref="B210:B272" si="280">1+B209</f>
        <v>146</v>
      </c>
      <c r="C210" s="197" t="s">
        <v>1098</v>
      </c>
      <c r="D210" s="198" t="s">
        <v>1361</v>
      </c>
      <c r="E210" s="703" t="s">
        <v>1125</v>
      </c>
      <c r="F210" s="703">
        <v>9</v>
      </c>
      <c r="G210" s="199">
        <v>5527</v>
      </c>
      <c r="H210" s="736"/>
      <c r="I210" s="199"/>
      <c r="J210" s="736"/>
      <c r="K210" s="199"/>
      <c r="L210" s="199"/>
      <c r="M210" s="736"/>
      <c r="N210" s="199"/>
      <c r="O210" s="736"/>
      <c r="P210" s="199"/>
      <c r="Q210" s="199"/>
      <c r="R210" s="199">
        <f t="shared" ref="R210:R215" si="281">G210+I210+K210+L210+N210+P210+Q210</f>
        <v>5527</v>
      </c>
      <c r="S210" s="199">
        <v>1</v>
      </c>
      <c r="T210" s="206"/>
      <c r="U210" s="206"/>
      <c r="V210" s="741"/>
      <c r="W210" s="206"/>
      <c r="X210" s="718">
        <v>19</v>
      </c>
      <c r="Y210" s="737">
        <v>0.2</v>
      </c>
      <c r="Z210" s="199">
        <f t="shared" ref="Z210:Z215" si="282">R210*Y210</f>
        <v>1105.4000000000001</v>
      </c>
      <c r="AA210" s="199">
        <f>AH210</f>
        <v>467.59999999999991</v>
      </c>
      <c r="AB210" s="199">
        <f t="shared" ref="AB210:AB215" si="283">(R210+Z210)*S210+AA210</f>
        <v>7100</v>
      </c>
      <c r="AC210" s="738">
        <f t="shared" si="264"/>
        <v>6400</v>
      </c>
      <c r="AD210" s="738">
        <f t="shared" si="265"/>
        <v>13500</v>
      </c>
      <c r="AE210" s="202">
        <f t="shared" si="266"/>
        <v>13500</v>
      </c>
      <c r="AF210" s="202">
        <f t="shared" si="267"/>
        <v>6400</v>
      </c>
      <c r="AG210" s="738">
        <f t="shared" ref="AG210:AG215" si="284">7100*S210</f>
        <v>7100</v>
      </c>
      <c r="AH210" s="202">
        <f t="shared" ref="AH210:AH215" si="285">AG210-(R210*S210)-Z210</f>
        <v>467.59999999999991</v>
      </c>
      <c r="AI210" s="203">
        <f t="shared" si="268"/>
        <v>5527</v>
      </c>
      <c r="AJ210" s="203">
        <f t="shared" si="269"/>
        <v>0</v>
      </c>
      <c r="AK210" s="203">
        <f t="shared" si="270"/>
        <v>5527</v>
      </c>
      <c r="AL210" s="203">
        <f t="shared" si="271"/>
        <v>0</v>
      </c>
      <c r="AM210" s="203">
        <f t="shared" si="272"/>
        <v>0</v>
      </c>
      <c r="AN210" s="203">
        <f t="shared" si="272"/>
        <v>0</v>
      </c>
      <c r="AO210" s="205">
        <f t="shared" si="273"/>
        <v>1105.4000000000001</v>
      </c>
      <c r="AP210" s="205">
        <f t="shared" si="274"/>
        <v>0</v>
      </c>
      <c r="AQ210" s="205">
        <f t="shared" si="275"/>
        <v>467.59999999999991</v>
      </c>
      <c r="AR210" s="205">
        <f t="shared" si="276"/>
        <v>0</v>
      </c>
      <c r="AS210" s="205">
        <f t="shared" si="277"/>
        <v>0</v>
      </c>
      <c r="AT210" s="209">
        <f t="shared" si="205"/>
        <v>5527</v>
      </c>
      <c r="AU210" s="209">
        <f t="shared" si="205"/>
        <v>0</v>
      </c>
      <c r="AV210" s="203"/>
      <c r="AW210" s="251">
        <f t="shared" si="278"/>
        <v>5527</v>
      </c>
      <c r="AX210" s="251"/>
      <c r="AY210" s="838">
        <f t="shared" si="279"/>
        <v>5527</v>
      </c>
      <c r="AZ210" s="838"/>
      <c r="BA210" s="839"/>
    </row>
    <row r="211" spans="2:53" s="76" customFormat="1" ht="63">
      <c r="B211" s="703">
        <f t="shared" si="280"/>
        <v>147</v>
      </c>
      <c r="C211" s="197" t="s">
        <v>1064</v>
      </c>
      <c r="D211" s="198" t="s">
        <v>1126</v>
      </c>
      <c r="E211" s="206" t="s">
        <v>1127</v>
      </c>
      <c r="F211" s="703">
        <v>9</v>
      </c>
      <c r="G211" s="199">
        <v>5527</v>
      </c>
      <c r="H211" s="736"/>
      <c r="I211" s="199"/>
      <c r="J211" s="736"/>
      <c r="K211" s="199"/>
      <c r="L211" s="199"/>
      <c r="M211" s="736"/>
      <c r="N211" s="199"/>
      <c r="O211" s="736"/>
      <c r="P211" s="199"/>
      <c r="Q211" s="199"/>
      <c r="R211" s="199">
        <f t="shared" si="281"/>
        <v>5527</v>
      </c>
      <c r="S211" s="199">
        <v>1</v>
      </c>
      <c r="T211" s="199"/>
      <c r="U211" s="199"/>
      <c r="V211" s="736"/>
      <c r="W211" s="199"/>
      <c r="X211" s="718">
        <v>40</v>
      </c>
      <c r="Y211" s="737">
        <v>0.3</v>
      </c>
      <c r="Z211" s="199">
        <f t="shared" si="282"/>
        <v>1658.1</v>
      </c>
      <c r="AA211" s="199"/>
      <c r="AB211" s="199">
        <f t="shared" si="283"/>
        <v>7185.1</v>
      </c>
      <c r="AC211" s="738">
        <f t="shared" si="264"/>
        <v>6314.9</v>
      </c>
      <c r="AD211" s="738">
        <f t="shared" si="265"/>
        <v>13500</v>
      </c>
      <c r="AE211" s="202">
        <f t="shared" si="266"/>
        <v>13500</v>
      </c>
      <c r="AF211" s="202">
        <f t="shared" si="267"/>
        <v>6314.9</v>
      </c>
      <c r="AG211" s="738">
        <f t="shared" si="284"/>
        <v>7100</v>
      </c>
      <c r="AH211" s="202">
        <f t="shared" si="285"/>
        <v>-85.099999999999909</v>
      </c>
      <c r="AI211" s="203">
        <f t="shared" si="268"/>
        <v>5527</v>
      </c>
      <c r="AJ211" s="203">
        <f t="shared" si="269"/>
        <v>0</v>
      </c>
      <c r="AK211" s="203">
        <f t="shared" si="270"/>
        <v>5527</v>
      </c>
      <c r="AL211" s="203">
        <f t="shared" si="271"/>
        <v>0</v>
      </c>
      <c r="AM211" s="203">
        <f t="shared" si="272"/>
        <v>0</v>
      </c>
      <c r="AN211" s="203">
        <f t="shared" si="272"/>
        <v>0</v>
      </c>
      <c r="AO211" s="205">
        <f t="shared" si="273"/>
        <v>1658.1</v>
      </c>
      <c r="AP211" s="205">
        <f t="shared" si="274"/>
        <v>0</v>
      </c>
      <c r="AQ211" s="205">
        <f t="shared" si="275"/>
        <v>0</v>
      </c>
      <c r="AR211" s="205">
        <f t="shared" si="276"/>
        <v>0</v>
      </c>
      <c r="AS211" s="205">
        <f t="shared" si="277"/>
        <v>0</v>
      </c>
      <c r="AT211" s="209">
        <f t="shared" si="205"/>
        <v>5527</v>
      </c>
      <c r="AU211" s="209">
        <f t="shared" si="205"/>
        <v>0</v>
      </c>
      <c r="AV211" s="203"/>
      <c r="AW211" s="251">
        <f t="shared" si="278"/>
        <v>5527</v>
      </c>
      <c r="AX211" s="251"/>
      <c r="AY211" s="838">
        <f t="shared" si="279"/>
        <v>5527</v>
      </c>
      <c r="AZ211" s="838"/>
      <c r="BA211" s="839"/>
    </row>
    <row r="212" spans="2:53" s="76" customFormat="1" ht="63">
      <c r="B212" s="703">
        <f t="shared" si="280"/>
        <v>148</v>
      </c>
      <c r="C212" s="197" t="s">
        <v>1064</v>
      </c>
      <c r="D212" s="198" t="s">
        <v>1128</v>
      </c>
      <c r="E212" s="206" t="s">
        <v>1129</v>
      </c>
      <c r="F212" s="703">
        <v>9</v>
      </c>
      <c r="G212" s="199">
        <v>5527</v>
      </c>
      <c r="H212" s="736"/>
      <c r="I212" s="199"/>
      <c r="J212" s="736"/>
      <c r="K212" s="199"/>
      <c r="L212" s="199"/>
      <c r="M212" s="736"/>
      <c r="N212" s="199"/>
      <c r="O212" s="736"/>
      <c r="P212" s="199"/>
      <c r="Q212" s="199"/>
      <c r="R212" s="199">
        <f t="shared" si="281"/>
        <v>5527</v>
      </c>
      <c r="S212" s="199">
        <v>1</v>
      </c>
      <c r="T212" s="199"/>
      <c r="U212" s="199"/>
      <c r="V212" s="736"/>
      <c r="W212" s="199"/>
      <c r="X212" s="718">
        <v>37</v>
      </c>
      <c r="Y212" s="737">
        <v>0.3</v>
      </c>
      <c r="Z212" s="199">
        <f t="shared" si="282"/>
        <v>1658.1</v>
      </c>
      <c r="AA212" s="199"/>
      <c r="AB212" s="199">
        <f t="shared" si="283"/>
        <v>7185.1</v>
      </c>
      <c r="AC212" s="738">
        <f t="shared" si="264"/>
        <v>6314.9</v>
      </c>
      <c r="AD212" s="738">
        <f t="shared" si="265"/>
        <v>13500</v>
      </c>
      <c r="AE212" s="202">
        <f t="shared" si="266"/>
        <v>13500</v>
      </c>
      <c r="AF212" s="202">
        <f t="shared" si="267"/>
        <v>6314.9</v>
      </c>
      <c r="AG212" s="738">
        <f t="shared" si="284"/>
        <v>7100</v>
      </c>
      <c r="AH212" s="202">
        <f t="shared" si="285"/>
        <v>-85.099999999999909</v>
      </c>
      <c r="AI212" s="203">
        <f t="shared" si="268"/>
        <v>5527</v>
      </c>
      <c r="AJ212" s="203">
        <f t="shared" si="269"/>
        <v>0</v>
      </c>
      <c r="AK212" s="203">
        <f t="shared" si="270"/>
        <v>5527</v>
      </c>
      <c r="AL212" s="203">
        <f t="shared" si="271"/>
        <v>0</v>
      </c>
      <c r="AM212" s="203">
        <f t="shared" si="272"/>
        <v>0</v>
      </c>
      <c r="AN212" s="203">
        <f t="shared" si="272"/>
        <v>0</v>
      </c>
      <c r="AO212" s="205">
        <f t="shared" si="273"/>
        <v>1658.1</v>
      </c>
      <c r="AP212" s="205">
        <f t="shared" si="274"/>
        <v>0</v>
      </c>
      <c r="AQ212" s="205">
        <f t="shared" si="275"/>
        <v>0</v>
      </c>
      <c r="AR212" s="205">
        <f t="shared" si="276"/>
        <v>0</v>
      </c>
      <c r="AS212" s="205">
        <f t="shared" si="277"/>
        <v>0</v>
      </c>
      <c r="AT212" s="209">
        <f t="shared" si="205"/>
        <v>5527</v>
      </c>
      <c r="AU212" s="209">
        <f t="shared" si="205"/>
        <v>0</v>
      </c>
      <c r="AV212" s="203"/>
      <c r="AW212" s="251">
        <f t="shared" si="278"/>
        <v>5527</v>
      </c>
      <c r="AX212" s="251"/>
      <c r="AY212" s="838">
        <f t="shared" si="279"/>
        <v>5527</v>
      </c>
      <c r="AZ212" s="838"/>
      <c r="BA212" s="839"/>
    </row>
    <row r="213" spans="2:53" s="76" customFormat="1" ht="63">
      <c r="B213" s="703">
        <f t="shared" si="280"/>
        <v>149</v>
      </c>
      <c r="C213" s="197" t="s">
        <v>1064</v>
      </c>
      <c r="D213" s="198" t="s">
        <v>1102</v>
      </c>
      <c r="E213" s="206" t="s">
        <v>1130</v>
      </c>
      <c r="F213" s="703">
        <v>9</v>
      </c>
      <c r="G213" s="199">
        <v>5527</v>
      </c>
      <c r="H213" s="736"/>
      <c r="I213" s="199"/>
      <c r="J213" s="736"/>
      <c r="K213" s="199"/>
      <c r="L213" s="199"/>
      <c r="M213" s="736"/>
      <c r="N213" s="199"/>
      <c r="O213" s="736"/>
      <c r="P213" s="206"/>
      <c r="Q213" s="206"/>
      <c r="R213" s="199">
        <f t="shared" si="281"/>
        <v>5527</v>
      </c>
      <c r="S213" s="199">
        <v>1</v>
      </c>
      <c r="T213" s="199"/>
      <c r="U213" s="206"/>
      <c r="V213" s="741"/>
      <c r="W213" s="206"/>
      <c r="X213" s="718">
        <v>34</v>
      </c>
      <c r="Y213" s="737">
        <v>0.3</v>
      </c>
      <c r="Z213" s="199">
        <f t="shared" si="282"/>
        <v>1658.1</v>
      </c>
      <c r="AA213" s="199"/>
      <c r="AB213" s="199">
        <f t="shared" si="283"/>
        <v>7185.1</v>
      </c>
      <c r="AC213" s="738">
        <f t="shared" si="264"/>
        <v>6314.9</v>
      </c>
      <c r="AD213" s="738">
        <f t="shared" si="265"/>
        <v>13500</v>
      </c>
      <c r="AE213" s="202">
        <f t="shared" si="266"/>
        <v>13500</v>
      </c>
      <c r="AF213" s="202">
        <f t="shared" si="267"/>
        <v>6314.9</v>
      </c>
      <c r="AG213" s="738">
        <f t="shared" si="284"/>
        <v>7100</v>
      </c>
      <c r="AH213" s="202">
        <f t="shared" si="285"/>
        <v>-85.099999999999909</v>
      </c>
      <c r="AI213" s="203">
        <f t="shared" si="268"/>
        <v>5527</v>
      </c>
      <c r="AJ213" s="203">
        <f t="shared" si="269"/>
        <v>0</v>
      </c>
      <c r="AK213" s="203">
        <f t="shared" si="270"/>
        <v>5527</v>
      </c>
      <c r="AL213" s="203">
        <f t="shared" si="271"/>
        <v>0</v>
      </c>
      <c r="AM213" s="203">
        <f t="shared" si="272"/>
        <v>0</v>
      </c>
      <c r="AN213" s="203">
        <f t="shared" si="272"/>
        <v>0</v>
      </c>
      <c r="AO213" s="205">
        <f t="shared" si="273"/>
        <v>1658.1</v>
      </c>
      <c r="AP213" s="205">
        <f t="shared" si="274"/>
        <v>0</v>
      </c>
      <c r="AQ213" s="205">
        <f t="shared" si="275"/>
        <v>0</v>
      </c>
      <c r="AR213" s="205">
        <f t="shared" si="276"/>
        <v>0</v>
      </c>
      <c r="AS213" s="205">
        <f t="shared" si="277"/>
        <v>0</v>
      </c>
      <c r="AT213" s="209">
        <f t="shared" si="205"/>
        <v>5527</v>
      </c>
      <c r="AU213" s="209">
        <f t="shared" si="205"/>
        <v>0</v>
      </c>
      <c r="AV213" s="203"/>
      <c r="AW213" s="251">
        <f t="shared" si="278"/>
        <v>5527</v>
      </c>
      <c r="AX213" s="251"/>
      <c r="AY213" s="838">
        <f t="shared" si="279"/>
        <v>5527</v>
      </c>
      <c r="AZ213" s="838"/>
      <c r="BA213" s="839"/>
    </row>
    <row r="214" spans="2:53" s="76" customFormat="1" ht="63">
      <c r="B214" s="703">
        <f t="shared" si="280"/>
        <v>150</v>
      </c>
      <c r="C214" s="197" t="s">
        <v>1064</v>
      </c>
      <c r="D214" s="198" t="s">
        <v>1128</v>
      </c>
      <c r="E214" s="206" t="s">
        <v>1804</v>
      </c>
      <c r="F214" s="703">
        <v>9</v>
      </c>
      <c r="G214" s="199">
        <v>5527</v>
      </c>
      <c r="H214" s="736"/>
      <c r="I214" s="199"/>
      <c r="J214" s="737"/>
      <c r="K214" s="201"/>
      <c r="L214" s="201"/>
      <c r="M214" s="736"/>
      <c r="N214" s="199"/>
      <c r="O214" s="736"/>
      <c r="P214" s="206"/>
      <c r="Q214" s="206"/>
      <c r="R214" s="199">
        <f t="shared" si="281"/>
        <v>5527</v>
      </c>
      <c r="S214" s="199">
        <v>1</v>
      </c>
      <c r="T214" s="199"/>
      <c r="U214" s="206"/>
      <c r="V214" s="741"/>
      <c r="W214" s="206"/>
      <c r="X214" s="718">
        <v>32</v>
      </c>
      <c r="Y214" s="737">
        <v>0.3</v>
      </c>
      <c r="Z214" s="199">
        <f t="shared" si="282"/>
        <v>1658.1</v>
      </c>
      <c r="AA214" s="199"/>
      <c r="AB214" s="199">
        <f t="shared" si="283"/>
        <v>7185.1</v>
      </c>
      <c r="AC214" s="738">
        <f t="shared" si="264"/>
        <v>6314.9</v>
      </c>
      <c r="AD214" s="738">
        <f t="shared" si="265"/>
        <v>13500</v>
      </c>
      <c r="AE214" s="202">
        <f t="shared" si="266"/>
        <v>13500</v>
      </c>
      <c r="AF214" s="202">
        <f t="shared" si="267"/>
        <v>6314.9</v>
      </c>
      <c r="AG214" s="738">
        <f t="shared" si="284"/>
        <v>7100</v>
      </c>
      <c r="AH214" s="202">
        <f t="shared" si="285"/>
        <v>-85.099999999999909</v>
      </c>
      <c r="AI214" s="203">
        <f t="shared" si="268"/>
        <v>5527</v>
      </c>
      <c r="AJ214" s="203">
        <f t="shared" si="269"/>
        <v>0</v>
      </c>
      <c r="AK214" s="203">
        <f t="shared" si="270"/>
        <v>5527</v>
      </c>
      <c r="AL214" s="203">
        <f t="shared" si="271"/>
        <v>0</v>
      </c>
      <c r="AM214" s="203">
        <f t="shared" si="272"/>
        <v>0</v>
      </c>
      <c r="AN214" s="203">
        <f>AL214-AJ214</f>
        <v>0</v>
      </c>
      <c r="AO214" s="205">
        <f t="shared" si="273"/>
        <v>1658.1</v>
      </c>
      <c r="AP214" s="205">
        <f t="shared" si="274"/>
        <v>0</v>
      </c>
      <c r="AQ214" s="205">
        <f t="shared" si="275"/>
        <v>0</v>
      </c>
      <c r="AR214" s="205">
        <f t="shared" si="276"/>
        <v>0</v>
      </c>
      <c r="AS214" s="205">
        <f t="shared" si="277"/>
        <v>0</v>
      </c>
      <c r="AT214" s="209">
        <f t="shared" si="205"/>
        <v>5527</v>
      </c>
      <c r="AU214" s="209">
        <f t="shared" si="205"/>
        <v>0</v>
      </c>
      <c r="AV214" s="203"/>
      <c r="AW214" s="251">
        <f t="shared" si="278"/>
        <v>5527</v>
      </c>
      <c r="AX214" s="251"/>
      <c r="AY214" s="838">
        <f t="shared" si="279"/>
        <v>5527</v>
      </c>
      <c r="AZ214" s="838"/>
      <c r="BA214" s="839"/>
    </row>
    <row r="215" spans="2:53" s="76" customFormat="1" ht="63">
      <c r="B215" s="703">
        <f t="shared" si="280"/>
        <v>151</v>
      </c>
      <c r="C215" s="197" t="s">
        <v>1064</v>
      </c>
      <c r="D215" s="198" t="s">
        <v>1863</v>
      </c>
      <c r="E215" s="703" t="s">
        <v>1131</v>
      </c>
      <c r="F215" s="703">
        <v>9</v>
      </c>
      <c r="G215" s="199">
        <v>5527</v>
      </c>
      <c r="H215" s="736"/>
      <c r="I215" s="199"/>
      <c r="J215" s="736"/>
      <c r="K215" s="199"/>
      <c r="L215" s="199"/>
      <c r="M215" s="736"/>
      <c r="N215" s="199"/>
      <c r="O215" s="736"/>
      <c r="P215" s="199"/>
      <c r="Q215" s="199"/>
      <c r="R215" s="199">
        <f t="shared" si="281"/>
        <v>5527</v>
      </c>
      <c r="S215" s="199">
        <v>1</v>
      </c>
      <c r="T215" s="199"/>
      <c r="U215" s="199"/>
      <c r="V215" s="736"/>
      <c r="W215" s="199"/>
      <c r="X215" s="718">
        <v>30</v>
      </c>
      <c r="Y215" s="737">
        <v>0.3</v>
      </c>
      <c r="Z215" s="199">
        <f t="shared" si="282"/>
        <v>1658.1</v>
      </c>
      <c r="AA215" s="199"/>
      <c r="AB215" s="199">
        <f t="shared" si="283"/>
        <v>7185.1</v>
      </c>
      <c r="AC215" s="738">
        <f t="shared" si="264"/>
        <v>6314.9</v>
      </c>
      <c r="AD215" s="738">
        <f t="shared" si="265"/>
        <v>13500</v>
      </c>
      <c r="AE215" s="202">
        <f t="shared" si="266"/>
        <v>13500</v>
      </c>
      <c r="AF215" s="202">
        <f t="shared" si="267"/>
        <v>6314.9</v>
      </c>
      <c r="AG215" s="738">
        <f t="shared" si="284"/>
        <v>7100</v>
      </c>
      <c r="AH215" s="202">
        <f t="shared" si="285"/>
        <v>-85.099999999999909</v>
      </c>
      <c r="AI215" s="203">
        <f t="shared" si="268"/>
        <v>5527</v>
      </c>
      <c r="AJ215" s="203">
        <f t="shared" si="269"/>
        <v>0</v>
      </c>
      <c r="AK215" s="203">
        <f t="shared" si="270"/>
        <v>5527</v>
      </c>
      <c r="AL215" s="203">
        <f t="shared" si="271"/>
        <v>0</v>
      </c>
      <c r="AM215" s="203">
        <f t="shared" si="272"/>
        <v>0</v>
      </c>
      <c r="AN215" s="203">
        <f>AL215-AJ215</f>
        <v>0</v>
      </c>
      <c r="AO215" s="205">
        <f t="shared" si="273"/>
        <v>1658.1</v>
      </c>
      <c r="AP215" s="205">
        <f t="shared" si="274"/>
        <v>0</v>
      </c>
      <c r="AQ215" s="205">
        <f t="shared" si="275"/>
        <v>0</v>
      </c>
      <c r="AR215" s="205">
        <f t="shared" si="276"/>
        <v>0</v>
      </c>
      <c r="AS215" s="205">
        <f t="shared" si="277"/>
        <v>0</v>
      </c>
      <c r="AT215" s="209">
        <f t="shared" si="205"/>
        <v>5527</v>
      </c>
      <c r="AU215" s="209">
        <f t="shared" si="205"/>
        <v>0</v>
      </c>
      <c r="AV215" s="203"/>
      <c r="AW215" s="251">
        <f>R215*S215</f>
        <v>5527</v>
      </c>
      <c r="AX215" s="251"/>
      <c r="AY215" s="838">
        <f t="shared" si="279"/>
        <v>5527</v>
      </c>
      <c r="AZ215" s="838"/>
      <c r="BA215" s="839"/>
    </row>
    <row r="216" spans="2:53" s="76" customFormat="1">
      <c r="B216" s="703"/>
      <c r="C216" s="180" t="s">
        <v>1736</v>
      </c>
      <c r="D216" s="207"/>
      <c r="E216" s="193"/>
      <c r="F216" s="193"/>
      <c r="G216" s="183">
        <f>SUM(G209:G215)</f>
        <v>38689</v>
      </c>
      <c r="H216" s="752"/>
      <c r="I216" s="183">
        <f>SUM(I209:I215)</f>
        <v>552.70000000000005</v>
      </c>
      <c r="J216" s="731"/>
      <c r="K216" s="193"/>
      <c r="L216" s="193"/>
      <c r="M216" s="731"/>
      <c r="N216" s="193"/>
      <c r="O216" s="731"/>
      <c r="P216" s="193"/>
      <c r="Q216" s="193"/>
      <c r="R216" s="183">
        <f>SUM(R209:R215)</f>
        <v>39241.699999999997</v>
      </c>
      <c r="S216" s="183">
        <f>SUM(S209:S215)</f>
        <v>7</v>
      </c>
      <c r="T216" s="183">
        <f>SUM(T209:T215)</f>
        <v>0</v>
      </c>
      <c r="U216" s="183"/>
      <c r="V216" s="742"/>
      <c r="W216" s="183"/>
      <c r="X216" s="742"/>
      <c r="Y216" s="742"/>
      <c r="Z216" s="183">
        <f t="shared" ref="Z216:AV216" si="286">SUM(Z209:Z215)</f>
        <v>11219.810000000001</v>
      </c>
      <c r="AA216" s="183">
        <f t="shared" si="286"/>
        <v>467.59999999999991</v>
      </c>
      <c r="AB216" s="183">
        <f t="shared" si="286"/>
        <v>50929.109999999993</v>
      </c>
      <c r="AC216" s="183">
        <f t="shared" si="286"/>
        <v>43570.890000000007</v>
      </c>
      <c r="AD216" s="183">
        <f>SUM(AD209:AD215)</f>
        <v>94500</v>
      </c>
      <c r="AE216" s="183">
        <f t="shared" si="286"/>
        <v>94500</v>
      </c>
      <c r="AF216" s="183">
        <f t="shared" si="286"/>
        <v>43570.890000000007</v>
      </c>
      <c r="AG216" s="183">
        <f t="shared" si="286"/>
        <v>49700</v>
      </c>
      <c r="AH216" s="183">
        <f t="shared" si="286"/>
        <v>42.100000000000364</v>
      </c>
      <c r="AI216" s="183">
        <f t="shared" si="286"/>
        <v>38689</v>
      </c>
      <c r="AJ216" s="183">
        <f t="shared" si="286"/>
        <v>0</v>
      </c>
      <c r="AK216" s="183">
        <f t="shared" si="286"/>
        <v>39241.699999999997</v>
      </c>
      <c r="AL216" s="183">
        <f t="shared" si="286"/>
        <v>0</v>
      </c>
      <c r="AM216" s="183">
        <f t="shared" si="286"/>
        <v>552.69999999999982</v>
      </c>
      <c r="AN216" s="183">
        <f t="shared" si="286"/>
        <v>0</v>
      </c>
      <c r="AO216" s="183">
        <f t="shared" si="286"/>
        <v>11219.810000000001</v>
      </c>
      <c r="AP216" s="183">
        <f t="shared" si="286"/>
        <v>0</v>
      </c>
      <c r="AQ216" s="183">
        <f t="shared" si="286"/>
        <v>467.59999999999991</v>
      </c>
      <c r="AR216" s="183">
        <f t="shared" si="286"/>
        <v>0</v>
      </c>
      <c r="AS216" s="183">
        <f t="shared" si="286"/>
        <v>0</v>
      </c>
      <c r="AT216" s="183">
        <f t="shared" si="286"/>
        <v>39241.699999999997</v>
      </c>
      <c r="AU216" s="183">
        <f t="shared" si="286"/>
        <v>0</v>
      </c>
      <c r="AV216" s="183">
        <f t="shared" si="286"/>
        <v>0</v>
      </c>
      <c r="AW216" s="183">
        <f>SUM(AW209:AW215)</f>
        <v>39241.699999999997</v>
      </c>
      <c r="AX216" s="251"/>
      <c r="AY216" s="839"/>
      <c r="AZ216" s="838"/>
      <c r="BA216" s="839"/>
    </row>
    <row r="217" spans="2:53" s="76" customFormat="1">
      <c r="B217" s="703"/>
      <c r="C217" s="220" t="s">
        <v>1874</v>
      </c>
      <c r="D217" s="207"/>
      <c r="E217" s="193"/>
      <c r="F217" s="193"/>
      <c r="G217" s="183"/>
      <c r="H217" s="752"/>
      <c r="I217" s="183"/>
      <c r="J217" s="731"/>
      <c r="K217" s="193"/>
      <c r="L217" s="193"/>
      <c r="M217" s="731"/>
      <c r="N217" s="193"/>
      <c r="O217" s="731"/>
      <c r="P217" s="193"/>
      <c r="Q217" s="193"/>
      <c r="R217" s="183"/>
      <c r="S217" s="183"/>
      <c r="T217" s="183"/>
      <c r="U217" s="183"/>
      <c r="V217" s="742"/>
      <c r="W217" s="183"/>
      <c r="X217" s="742"/>
      <c r="Y217" s="742"/>
      <c r="Z217" s="183"/>
      <c r="AA217" s="183"/>
      <c r="AB217" s="183"/>
      <c r="AC217" s="208"/>
      <c r="AD217" s="208"/>
      <c r="AE217" s="208"/>
      <c r="AF217" s="208"/>
      <c r="AG217" s="208"/>
      <c r="AH217" s="208"/>
      <c r="AI217" s="203"/>
      <c r="AJ217" s="203"/>
      <c r="AK217" s="203"/>
      <c r="AL217" s="203"/>
      <c r="AM217" s="203"/>
      <c r="AN217" s="203"/>
      <c r="AO217" s="205"/>
      <c r="AP217" s="205"/>
      <c r="AQ217" s="205"/>
      <c r="AR217" s="205"/>
      <c r="AS217" s="205"/>
      <c r="AT217" s="209"/>
      <c r="AU217" s="209"/>
      <c r="AV217" s="203"/>
      <c r="AW217" s="251"/>
      <c r="AX217" s="251"/>
      <c r="AY217" s="839"/>
      <c r="AZ217" s="838"/>
      <c r="BA217" s="839"/>
    </row>
    <row r="218" spans="2:53" s="76" customFormat="1" ht="94.5">
      <c r="B218" s="703">
        <f>B215+1</f>
        <v>152</v>
      </c>
      <c r="C218" s="197" t="s">
        <v>1188</v>
      </c>
      <c r="D218" s="198"/>
      <c r="E218" s="206" t="s">
        <v>1741</v>
      </c>
      <c r="F218" s="703">
        <v>3</v>
      </c>
      <c r="G218" s="199">
        <v>3770</v>
      </c>
      <c r="H218" s="736"/>
      <c r="I218" s="199"/>
      <c r="J218" s="736"/>
      <c r="K218" s="199"/>
      <c r="L218" s="199"/>
      <c r="M218" s="736"/>
      <c r="N218" s="199"/>
      <c r="O218" s="736"/>
      <c r="P218" s="199"/>
      <c r="Q218" s="199"/>
      <c r="R218" s="199">
        <f>G218+I218+K218+L218+N218+P218+Q218</f>
        <v>3770</v>
      </c>
      <c r="S218" s="199">
        <v>1</v>
      </c>
      <c r="T218" s="206"/>
      <c r="U218" s="206"/>
      <c r="V218" s="737">
        <v>0.1</v>
      </c>
      <c r="W218" s="199">
        <f>R218*V218</f>
        <v>377</v>
      </c>
      <c r="X218" s="718"/>
      <c r="Y218" s="737"/>
      <c r="Z218" s="199"/>
      <c r="AA218" s="199">
        <f>AH218</f>
        <v>3330</v>
      </c>
      <c r="AB218" s="199">
        <f>(R218+Z218+U218+W218)*S218+AA218</f>
        <v>7477</v>
      </c>
      <c r="AC218" s="738">
        <f>AF218</f>
        <v>0</v>
      </c>
      <c r="AD218" s="738">
        <f>AB218+AC218</f>
        <v>7477</v>
      </c>
      <c r="AE218" s="202">
        <f>AB218</f>
        <v>7477</v>
      </c>
      <c r="AF218" s="202">
        <f>AE218-AB218</f>
        <v>0</v>
      </c>
      <c r="AG218" s="738">
        <f>7100*S218</f>
        <v>7100</v>
      </c>
      <c r="AH218" s="202">
        <f>AG218-(R218*S218)</f>
        <v>3330</v>
      </c>
      <c r="AI218" s="203">
        <f>G218*S218</f>
        <v>3770</v>
      </c>
      <c r="AJ218" s="203">
        <f>G218*T218</f>
        <v>0</v>
      </c>
      <c r="AK218" s="203">
        <f>R218*S218</f>
        <v>3770</v>
      </c>
      <c r="AL218" s="203">
        <f>R218*T218</f>
        <v>0</v>
      </c>
      <c r="AM218" s="203">
        <f t="shared" ref="AM218:AN222" si="287">AK218-AI218</f>
        <v>0</v>
      </c>
      <c r="AN218" s="203">
        <f t="shared" si="287"/>
        <v>0</v>
      </c>
      <c r="AO218" s="205">
        <f>Z218*S218</f>
        <v>0</v>
      </c>
      <c r="AP218" s="205">
        <f>Z218*T218</f>
        <v>0</v>
      </c>
      <c r="AQ218" s="205">
        <f>AA218</f>
        <v>3330</v>
      </c>
      <c r="AR218" s="205">
        <f>W218*S218</f>
        <v>377</v>
      </c>
      <c r="AS218" s="205">
        <f>W218*T218</f>
        <v>0</v>
      </c>
      <c r="AT218" s="209">
        <f t="shared" ref="AT218:AU280" si="288">AK218</f>
        <v>3770</v>
      </c>
      <c r="AU218" s="209">
        <f t="shared" si="288"/>
        <v>0</v>
      </c>
      <c r="AV218" s="203"/>
      <c r="AW218" s="251">
        <f>R218*S218</f>
        <v>3770</v>
      </c>
      <c r="AX218" s="251"/>
      <c r="AY218" s="838">
        <f>AW218</f>
        <v>3770</v>
      </c>
      <c r="AZ218" s="838"/>
      <c r="BA218" s="839"/>
    </row>
    <row r="219" spans="2:53" s="76" customFormat="1" ht="94.5">
      <c r="B219" s="703">
        <f t="shared" si="280"/>
        <v>153</v>
      </c>
      <c r="C219" s="197" t="s">
        <v>1188</v>
      </c>
      <c r="D219" s="198"/>
      <c r="E219" s="206" t="s">
        <v>1204</v>
      </c>
      <c r="F219" s="703">
        <v>3</v>
      </c>
      <c r="G219" s="199">
        <v>3770</v>
      </c>
      <c r="H219" s="736"/>
      <c r="I219" s="199"/>
      <c r="J219" s="736"/>
      <c r="K219" s="199"/>
      <c r="L219" s="199"/>
      <c r="M219" s="736"/>
      <c r="N219" s="199"/>
      <c r="O219" s="736"/>
      <c r="P219" s="199"/>
      <c r="Q219" s="199"/>
      <c r="R219" s="199">
        <f>G219+I219+K219+L219+N219+P219+Q219</f>
        <v>3770</v>
      </c>
      <c r="S219" s="199">
        <v>1</v>
      </c>
      <c r="T219" s="199"/>
      <c r="U219" s="199"/>
      <c r="V219" s="737">
        <v>0.1</v>
      </c>
      <c r="W219" s="199">
        <f>R219*V219</f>
        <v>377</v>
      </c>
      <c r="X219" s="718"/>
      <c r="Y219" s="737"/>
      <c r="Z219" s="199"/>
      <c r="AA219" s="199">
        <f>AH219</f>
        <v>3330</v>
      </c>
      <c r="AB219" s="199">
        <f>(R219+Z219+U219+W219)*S219+AA219</f>
        <v>7477</v>
      </c>
      <c r="AC219" s="738">
        <f>AF219</f>
        <v>0</v>
      </c>
      <c r="AD219" s="738">
        <f>AB219+AC219</f>
        <v>7477</v>
      </c>
      <c r="AE219" s="202">
        <f>AB219</f>
        <v>7477</v>
      </c>
      <c r="AF219" s="202">
        <f>AE219-AB219</f>
        <v>0</v>
      </c>
      <c r="AG219" s="738">
        <f>7100*S219</f>
        <v>7100</v>
      </c>
      <c r="AH219" s="202">
        <f>AG219-(R219*S219)</f>
        <v>3330</v>
      </c>
      <c r="AI219" s="203">
        <f>G219*S219</f>
        <v>3770</v>
      </c>
      <c r="AJ219" s="203">
        <f>G219*T219</f>
        <v>0</v>
      </c>
      <c r="AK219" s="203">
        <f>R219*S219</f>
        <v>3770</v>
      </c>
      <c r="AL219" s="203">
        <f>R219*T219</f>
        <v>0</v>
      </c>
      <c r="AM219" s="203">
        <f t="shared" si="287"/>
        <v>0</v>
      </c>
      <c r="AN219" s="203">
        <f t="shared" si="287"/>
        <v>0</v>
      </c>
      <c r="AO219" s="205">
        <f>Z219*S219</f>
        <v>0</v>
      </c>
      <c r="AP219" s="205">
        <f>Z219*T219</f>
        <v>0</v>
      </c>
      <c r="AQ219" s="205">
        <f>AA219</f>
        <v>3330</v>
      </c>
      <c r="AR219" s="205">
        <f>W219*S219</f>
        <v>377</v>
      </c>
      <c r="AS219" s="205">
        <f>W219*T219</f>
        <v>0</v>
      </c>
      <c r="AT219" s="209">
        <f t="shared" si="288"/>
        <v>3770</v>
      </c>
      <c r="AU219" s="209">
        <f t="shared" si="288"/>
        <v>0</v>
      </c>
      <c r="AV219" s="203"/>
      <c r="AW219" s="251">
        <f>R219*S219</f>
        <v>3770</v>
      </c>
      <c r="AX219" s="251"/>
      <c r="AY219" s="838">
        <f>AW219</f>
        <v>3770</v>
      </c>
      <c r="AZ219" s="838"/>
      <c r="BA219" s="839"/>
    </row>
    <row r="220" spans="2:53" s="76" customFormat="1" ht="94.5">
      <c r="B220" s="703">
        <f t="shared" si="280"/>
        <v>154</v>
      </c>
      <c r="C220" s="197" t="s">
        <v>1188</v>
      </c>
      <c r="D220" s="198"/>
      <c r="E220" s="703" t="s">
        <v>1816</v>
      </c>
      <c r="F220" s="703">
        <v>3</v>
      </c>
      <c r="G220" s="199">
        <v>3770</v>
      </c>
      <c r="H220" s="736"/>
      <c r="I220" s="199"/>
      <c r="J220" s="736"/>
      <c r="K220" s="199"/>
      <c r="L220" s="199"/>
      <c r="M220" s="736"/>
      <c r="N220" s="199"/>
      <c r="O220" s="736"/>
      <c r="P220" s="199"/>
      <c r="Q220" s="199"/>
      <c r="R220" s="199">
        <f>G220+I220+K220+L220+N220+P220+Q220</f>
        <v>3770</v>
      </c>
      <c r="S220" s="199">
        <v>1</v>
      </c>
      <c r="T220" s="199"/>
      <c r="U220" s="199"/>
      <c r="V220" s="737">
        <v>0.1</v>
      </c>
      <c r="W220" s="199">
        <f>R220*V220</f>
        <v>377</v>
      </c>
      <c r="X220" s="718"/>
      <c r="Y220" s="737"/>
      <c r="Z220" s="199"/>
      <c r="AA220" s="199">
        <f>AH220</f>
        <v>3330</v>
      </c>
      <c r="AB220" s="199">
        <f>(R220+Z220+U220+W220)*S220+AA220</f>
        <v>7477</v>
      </c>
      <c r="AC220" s="738">
        <f>AF220</f>
        <v>0</v>
      </c>
      <c r="AD220" s="738">
        <f>AB220+AC220</f>
        <v>7477</v>
      </c>
      <c r="AE220" s="202">
        <f>AB220</f>
        <v>7477</v>
      </c>
      <c r="AF220" s="202">
        <f>AE220-AB220</f>
        <v>0</v>
      </c>
      <c r="AG220" s="738">
        <f>7100*S220</f>
        <v>7100</v>
      </c>
      <c r="AH220" s="202">
        <f>AG220-(R220*S220)</f>
        <v>3330</v>
      </c>
      <c r="AI220" s="203">
        <f>G220*S220</f>
        <v>3770</v>
      </c>
      <c r="AJ220" s="203">
        <f>G220*T220</f>
        <v>0</v>
      </c>
      <c r="AK220" s="203">
        <f>R220*S220</f>
        <v>3770</v>
      </c>
      <c r="AL220" s="203">
        <f>R220*T220</f>
        <v>0</v>
      </c>
      <c r="AM220" s="203">
        <f t="shared" si="287"/>
        <v>0</v>
      </c>
      <c r="AN220" s="203">
        <f t="shared" si="287"/>
        <v>0</v>
      </c>
      <c r="AO220" s="205">
        <f>Z220*S220</f>
        <v>0</v>
      </c>
      <c r="AP220" s="205">
        <f>Z220*T220</f>
        <v>0</v>
      </c>
      <c r="AQ220" s="205">
        <f>AA220</f>
        <v>3330</v>
      </c>
      <c r="AR220" s="205">
        <f>W220*S220</f>
        <v>377</v>
      </c>
      <c r="AS220" s="205">
        <f>W220*T220</f>
        <v>0</v>
      </c>
      <c r="AT220" s="209">
        <f t="shared" si="288"/>
        <v>3770</v>
      </c>
      <c r="AU220" s="209">
        <f t="shared" si="288"/>
        <v>0</v>
      </c>
      <c r="AV220" s="203"/>
      <c r="AW220" s="251">
        <f>R220*S220</f>
        <v>3770</v>
      </c>
      <c r="AX220" s="251"/>
      <c r="AY220" s="838">
        <f>AW220</f>
        <v>3770</v>
      </c>
      <c r="AZ220" s="838"/>
      <c r="BA220" s="839"/>
    </row>
    <row r="221" spans="2:53" s="76" customFormat="1" ht="94.5">
      <c r="B221" s="703">
        <f t="shared" si="280"/>
        <v>155</v>
      </c>
      <c r="C221" s="197" t="s">
        <v>1188</v>
      </c>
      <c r="D221" s="198"/>
      <c r="E221" s="206" t="s">
        <v>1205</v>
      </c>
      <c r="F221" s="703">
        <v>3</v>
      </c>
      <c r="G221" s="199">
        <v>3770</v>
      </c>
      <c r="H221" s="736"/>
      <c r="I221" s="199"/>
      <c r="J221" s="736"/>
      <c r="K221" s="199"/>
      <c r="L221" s="199"/>
      <c r="M221" s="736"/>
      <c r="N221" s="199"/>
      <c r="O221" s="736"/>
      <c r="P221" s="199"/>
      <c r="Q221" s="199"/>
      <c r="R221" s="199">
        <f>G221+I221+K221+L221+N221+P221+Q221</f>
        <v>3770</v>
      </c>
      <c r="S221" s="199">
        <v>1</v>
      </c>
      <c r="T221" s="199"/>
      <c r="U221" s="199"/>
      <c r="V221" s="737">
        <v>0.1</v>
      </c>
      <c r="W221" s="199">
        <f>R221*V221</f>
        <v>377</v>
      </c>
      <c r="X221" s="718"/>
      <c r="Y221" s="737"/>
      <c r="Z221" s="199"/>
      <c r="AA221" s="199">
        <f>AH221</f>
        <v>3330</v>
      </c>
      <c r="AB221" s="199">
        <f>(R221+Z221+U221+W221)*S221+AA221</f>
        <v>7477</v>
      </c>
      <c r="AC221" s="738">
        <f>AF221</f>
        <v>0</v>
      </c>
      <c r="AD221" s="738">
        <f>AB221+AC221</f>
        <v>7477</v>
      </c>
      <c r="AE221" s="202">
        <f>AB221</f>
        <v>7477</v>
      </c>
      <c r="AF221" s="202">
        <f>AE221-AB221</f>
        <v>0</v>
      </c>
      <c r="AG221" s="738">
        <f>7100*S221</f>
        <v>7100</v>
      </c>
      <c r="AH221" s="202">
        <f>AG221-(R221*S221)</f>
        <v>3330</v>
      </c>
      <c r="AI221" s="203">
        <f>G221*S221</f>
        <v>3770</v>
      </c>
      <c r="AJ221" s="203">
        <f>G221*T221</f>
        <v>0</v>
      </c>
      <c r="AK221" s="203">
        <f>R221*S221</f>
        <v>3770</v>
      </c>
      <c r="AL221" s="203">
        <f>R221*T221</f>
        <v>0</v>
      </c>
      <c r="AM221" s="203">
        <f t="shared" si="287"/>
        <v>0</v>
      </c>
      <c r="AN221" s="203">
        <f t="shared" si="287"/>
        <v>0</v>
      </c>
      <c r="AO221" s="205">
        <f>Z221*S221</f>
        <v>0</v>
      </c>
      <c r="AP221" s="205">
        <f>Z221*T221</f>
        <v>0</v>
      </c>
      <c r="AQ221" s="205">
        <f>AA221</f>
        <v>3330</v>
      </c>
      <c r="AR221" s="205">
        <f>W221*S221</f>
        <v>377</v>
      </c>
      <c r="AS221" s="205">
        <f>W221*T221</f>
        <v>0</v>
      </c>
      <c r="AT221" s="209">
        <f t="shared" si="288"/>
        <v>3770</v>
      </c>
      <c r="AU221" s="209">
        <f t="shared" si="288"/>
        <v>0</v>
      </c>
      <c r="AV221" s="203"/>
      <c r="AW221" s="251">
        <f>R221*S221</f>
        <v>3770</v>
      </c>
      <c r="AX221" s="251"/>
      <c r="AY221" s="838">
        <f>AW221</f>
        <v>3770</v>
      </c>
      <c r="AZ221" s="838"/>
      <c r="BA221" s="839"/>
    </row>
    <row r="222" spans="2:53" s="76" customFormat="1" ht="94.5">
      <c r="B222" s="703">
        <f t="shared" si="280"/>
        <v>156</v>
      </c>
      <c r="C222" s="197" t="s">
        <v>1188</v>
      </c>
      <c r="D222" s="198"/>
      <c r="E222" s="206" t="s">
        <v>1817</v>
      </c>
      <c r="F222" s="703">
        <v>3</v>
      </c>
      <c r="G222" s="199">
        <v>3770</v>
      </c>
      <c r="H222" s="736"/>
      <c r="I222" s="199"/>
      <c r="J222" s="736"/>
      <c r="K222" s="199"/>
      <c r="L222" s="199"/>
      <c r="M222" s="736"/>
      <c r="N222" s="199"/>
      <c r="O222" s="736"/>
      <c r="P222" s="206"/>
      <c r="Q222" s="206"/>
      <c r="R222" s="199">
        <f>G222+I222+K222+L222+N222+P222+Q222</f>
        <v>3770</v>
      </c>
      <c r="S222" s="199">
        <v>1</v>
      </c>
      <c r="T222" s="199"/>
      <c r="U222" s="199"/>
      <c r="V222" s="737">
        <v>0.1</v>
      </c>
      <c r="W222" s="199">
        <f>R222*V222</f>
        <v>377</v>
      </c>
      <c r="X222" s="718"/>
      <c r="Y222" s="737"/>
      <c r="Z222" s="199"/>
      <c r="AA222" s="199">
        <f>AH222</f>
        <v>3330</v>
      </c>
      <c r="AB222" s="199">
        <f>(R222+Z222+U222+W222)*S222+AA222</f>
        <v>7477</v>
      </c>
      <c r="AC222" s="738">
        <f>AF222</f>
        <v>0</v>
      </c>
      <c r="AD222" s="738">
        <f>AB222+AC222</f>
        <v>7477</v>
      </c>
      <c r="AE222" s="202">
        <f>AB222</f>
        <v>7477</v>
      </c>
      <c r="AF222" s="202">
        <f>AE222-AB222</f>
        <v>0</v>
      </c>
      <c r="AG222" s="738">
        <f>7100*S222</f>
        <v>7100</v>
      </c>
      <c r="AH222" s="202">
        <f>AG222-(R222*S222)</f>
        <v>3330</v>
      </c>
      <c r="AI222" s="203">
        <f>G222*S222</f>
        <v>3770</v>
      </c>
      <c r="AJ222" s="203">
        <f>G222*T222</f>
        <v>0</v>
      </c>
      <c r="AK222" s="203">
        <f>R222*S222</f>
        <v>3770</v>
      </c>
      <c r="AL222" s="203">
        <f>R222*T222</f>
        <v>0</v>
      </c>
      <c r="AM222" s="203">
        <f t="shared" si="287"/>
        <v>0</v>
      </c>
      <c r="AN222" s="203">
        <f t="shared" si="287"/>
        <v>0</v>
      </c>
      <c r="AO222" s="205">
        <f>Z222*S222</f>
        <v>0</v>
      </c>
      <c r="AP222" s="205">
        <f>Z222*T222</f>
        <v>0</v>
      </c>
      <c r="AQ222" s="205">
        <f>AA222</f>
        <v>3330</v>
      </c>
      <c r="AR222" s="205">
        <f>W222*S222</f>
        <v>377</v>
      </c>
      <c r="AS222" s="205">
        <f>W222*T222</f>
        <v>0</v>
      </c>
      <c r="AT222" s="209">
        <f t="shared" si="288"/>
        <v>3770</v>
      </c>
      <c r="AU222" s="209">
        <f t="shared" si="288"/>
        <v>0</v>
      </c>
      <c r="AV222" s="203"/>
      <c r="AW222" s="251">
        <f>R222*S222</f>
        <v>3770</v>
      </c>
      <c r="AX222" s="251"/>
      <c r="AY222" s="838">
        <f>AW222</f>
        <v>3770</v>
      </c>
      <c r="AZ222" s="838"/>
      <c r="BA222" s="839"/>
    </row>
    <row r="223" spans="2:53" s="76" customFormat="1">
      <c r="B223" s="703"/>
      <c r="C223" s="180" t="s">
        <v>1736</v>
      </c>
      <c r="D223" s="207"/>
      <c r="E223" s="193"/>
      <c r="F223" s="193"/>
      <c r="G223" s="183">
        <f>SUM(G218:G222)</f>
        <v>18850</v>
      </c>
      <c r="H223" s="731"/>
      <c r="I223" s="193"/>
      <c r="J223" s="731"/>
      <c r="K223" s="193"/>
      <c r="L223" s="193"/>
      <c r="M223" s="731"/>
      <c r="N223" s="193"/>
      <c r="O223" s="731"/>
      <c r="P223" s="193"/>
      <c r="Q223" s="193"/>
      <c r="R223" s="183">
        <f>SUM(R218:R222)</f>
        <v>18850</v>
      </c>
      <c r="S223" s="183">
        <f>SUM(S218:S222)</f>
        <v>5</v>
      </c>
      <c r="T223" s="183">
        <f>SUM(T218:T222)</f>
        <v>0</v>
      </c>
      <c r="U223" s="184"/>
      <c r="V223" s="742"/>
      <c r="W223" s="183">
        <f>SUM(W218:W222)</f>
        <v>1885</v>
      </c>
      <c r="X223" s="742"/>
      <c r="Y223" s="742"/>
      <c r="Z223" s="183"/>
      <c r="AA223" s="183">
        <f t="shared" ref="AA223:AV223" si="289">SUM(AA218:AA222)</f>
        <v>16650</v>
      </c>
      <c r="AB223" s="183">
        <f t="shared" si="289"/>
        <v>37385</v>
      </c>
      <c r="AC223" s="183">
        <f t="shared" si="289"/>
        <v>0</v>
      </c>
      <c r="AD223" s="183">
        <f>SUM(AD218:AD222)</f>
        <v>37385</v>
      </c>
      <c r="AE223" s="183">
        <f t="shared" si="289"/>
        <v>37385</v>
      </c>
      <c r="AF223" s="183">
        <f t="shared" si="289"/>
        <v>0</v>
      </c>
      <c r="AG223" s="183">
        <f>SUM(AG218:AG222)</f>
        <v>35500</v>
      </c>
      <c r="AH223" s="183">
        <f t="shared" si="289"/>
        <v>16650</v>
      </c>
      <c r="AI223" s="183">
        <f t="shared" si="289"/>
        <v>18850</v>
      </c>
      <c r="AJ223" s="183">
        <f t="shared" si="289"/>
        <v>0</v>
      </c>
      <c r="AK223" s="183">
        <f t="shared" si="289"/>
        <v>18850</v>
      </c>
      <c r="AL223" s="183">
        <f t="shared" si="289"/>
        <v>0</v>
      </c>
      <c r="AM223" s="183">
        <f t="shared" si="289"/>
        <v>0</v>
      </c>
      <c r="AN223" s="183">
        <f t="shared" si="289"/>
        <v>0</v>
      </c>
      <c r="AO223" s="183">
        <f t="shared" si="289"/>
        <v>0</v>
      </c>
      <c r="AP223" s="183">
        <f t="shared" si="289"/>
        <v>0</v>
      </c>
      <c r="AQ223" s="183">
        <f t="shared" si="289"/>
        <v>16650</v>
      </c>
      <c r="AR223" s="183">
        <f t="shared" si="289"/>
        <v>1885</v>
      </c>
      <c r="AS223" s="183">
        <f t="shared" si="289"/>
        <v>0</v>
      </c>
      <c r="AT223" s="183">
        <f t="shared" si="289"/>
        <v>18850</v>
      </c>
      <c r="AU223" s="183">
        <f t="shared" si="289"/>
        <v>0</v>
      </c>
      <c r="AV223" s="183">
        <f t="shared" si="289"/>
        <v>0</v>
      </c>
      <c r="AW223" s="183">
        <f>SUM(AW218:AW222)</f>
        <v>18850</v>
      </c>
      <c r="AX223" s="251"/>
      <c r="AY223" s="839"/>
      <c r="AZ223" s="838"/>
      <c r="BA223" s="839"/>
    </row>
    <row r="224" spans="2:53" s="76" customFormat="1">
      <c r="B224" s="703"/>
      <c r="C224" s="180" t="s">
        <v>1278</v>
      </c>
      <c r="D224" s="207"/>
      <c r="E224" s="193"/>
      <c r="F224" s="193"/>
      <c r="G224" s="185">
        <f>G207+G216+G223</f>
        <v>71565</v>
      </c>
      <c r="H224" s="753"/>
      <c r="I224" s="185">
        <f t="shared" ref="I224:AV224" si="290">I207+I216+I223</f>
        <v>1278</v>
      </c>
      <c r="J224" s="753"/>
      <c r="K224" s="185"/>
      <c r="L224" s="185"/>
      <c r="M224" s="753"/>
      <c r="N224" s="185"/>
      <c r="O224" s="753"/>
      <c r="P224" s="185"/>
      <c r="Q224" s="185"/>
      <c r="R224" s="185">
        <f t="shared" si="290"/>
        <v>72843</v>
      </c>
      <c r="S224" s="183">
        <f t="shared" si="290"/>
        <v>14</v>
      </c>
      <c r="T224" s="183">
        <f t="shared" si="290"/>
        <v>0</v>
      </c>
      <c r="U224" s="185"/>
      <c r="V224" s="753"/>
      <c r="W224" s="185">
        <f t="shared" si="290"/>
        <v>1885</v>
      </c>
      <c r="X224" s="753"/>
      <c r="Y224" s="753"/>
      <c r="Z224" s="185">
        <f t="shared" si="290"/>
        <v>15645.2</v>
      </c>
      <c r="AA224" s="185">
        <f t="shared" si="290"/>
        <v>17117.599999999999</v>
      </c>
      <c r="AB224" s="185">
        <f t="shared" si="290"/>
        <v>107490.79999999999</v>
      </c>
      <c r="AC224" s="185">
        <f t="shared" si="290"/>
        <v>64394.200000000004</v>
      </c>
      <c r="AD224" s="185">
        <f>AD207+AD216+AD223</f>
        <v>171885</v>
      </c>
      <c r="AE224" s="185">
        <f t="shared" si="290"/>
        <v>171885</v>
      </c>
      <c r="AF224" s="185">
        <f t="shared" si="290"/>
        <v>64394.200000000004</v>
      </c>
      <c r="AG224" s="185">
        <f>AG207+AG216+AG223</f>
        <v>99400</v>
      </c>
      <c r="AH224" s="185">
        <f t="shared" si="290"/>
        <v>21668.79</v>
      </c>
      <c r="AI224" s="185">
        <f t="shared" si="290"/>
        <v>71565</v>
      </c>
      <c r="AJ224" s="185">
        <f t="shared" si="290"/>
        <v>0</v>
      </c>
      <c r="AK224" s="185">
        <f t="shared" si="290"/>
        <v>72843</v>
      </c>
      <c r="AL224" s="185">
        <f t="shared" si="290"/>
        <v>0</v>
      </c>
      <c r="AM224" s="185">
        <f t="shared" si="290"/>
        <v>1278</v>
      </c>
      <c r="AN224" s="185">
        <f t="shared" si="290"/>
        <v>0</v>
      </c>
      <c r="AO224" s="185">
        <f t="shared" si="290"/>
        <v>15645.2</v>
      </c>
      <c r="AP224" s="185">
        <f t="shared" si="290"/>
        <v>0</v>
      </c>
      <c r="AQ224" s="185">
        <f t="shared" si="290"/>
        <v>17117.599999999999</v>
      </c>
      <c r="AR224" s="185">
        <f t="shared" si="290"/>
        <v>1885</v>
      </c>
      <c r="AS224" s="185">
        <f t="shared" si="290"/>
        <v>0</v>
      </c>
      <c r="AT224" s="185">
        <f t="shared" si="290"/>
        <v>72843</v>
      </c>
      <c r="AU224" s="185">
        <f t="shared" si="290"/>
        <v>0</v>
      </c>
      <c r="AV224" s="185">
        <f t="shared" si="290"/>
        <v>0</v>
      </c>
      <c r="AW224" s="185">
        <f>AW207+AW216+AW223</f>
        <v>72843</v>
      </c>
      <c r="AX224" s="251"/>
      <c r="AY224" s="839"/>
      <c r="AZ224" s="838"/>
      <c r="BA224" s="839"/>
    </row>
    <row r="225" spans="2:53" s="76" customFormat="1">
      <c r="B225" s="703"/>
      <c r="C225" s="191" t="s">
        <v>1772</v>
      </c>
      <c r="D225" s="192"/>
      <c r="E225" s="193"/>
      <c r="F225" s="193"/>
      <c r="G225" s="193"/>
      <c r="H225" s="731"/>
      <c r="I225" s="193"/>
      <c r="J225" s="731"/>
      <c r="K225" s="193"/>
      <c r="L225" s="193"/>
      <c r="M225" s="731"/>
      <c r="N225" s="193"/>
      <c r="O225" s="731"/>
      <c r="P225" s="193"/>
      <c r="Q225" s="193"/>
      <c r="R225" s="193"/>
      <c r="S225" s="193"/>
      <c r="T225" s="193"/>
      <c r="U225" s="193"/>
      <c r="V225" s="732"/>
      <c r="W225" s="193"/>
      <c r="X225" s="732"/>
      <c r="Y225" s="732"/>
      <c r="Z225" s="193"/>
      <c r="AA225" s="193"/>
      <c r="AB225" s="193"/>
      <c r="AC225" s="195"/>
      <c r="AD225" s="195"/>
      <c r="AE225" s="195"/>
      <c r="AF225" s="195"/>
      <c r="AG225" s="195"/>
      <c r="AH225" s="195"/>
      <c r="AI225" s="203">
        <f>G225*S225</f>
        <v>0</v>
      </c>
      <c r="AJ225" s="203">
        <f>G225*T225</f>
        <v>0</v>
      </c>
      <c r="AK225" s="203">
        <f>R225*S225</f>
        <v>0</v>
      </c>
      <c r="AL225" s="203">
        <f>R225*T225</f>
        <v>0</v>
      </c>
      <c r="AM225" s="203">
        <f t="shared" ref="AM225:AN228" si="291">AK225-AI225</f>
        <v>0</v>
      </c>
      <c r="AN225" s="203">
        <f t="shared" si="291"/>
        <v>0</v>
      </c>
      <c r="AO225" s="205">
        <f>Z225*S225</f>
        <v>0</v>
      </c>
      <c r="AP225" s="205">
        <f>Z225*T225</f>
        <v>0</v>
      </c>
      <c r="AQ225" s="205">
        <f>AA225</f>
        <v>0</v>
      </c>
      <c r="AR225" s="205">
        <f>W225*S225</f>
        <v>0</v>
      </c>
      <c r="AS225" s="205">
        <f>W225*T225</f>
        <v>0</v>
      </c>
      <c r="AT225" s="209">
        <f t="shared" si="288"/>
        <v>0</v>
      </c>
      <c r="AU225" s="209">
        <f t="shared" si="288"/>
        <v>0</v>
      </c>
      <c r="AV225" s="203"/>
      <c r="AW225" s="251"/>
      <c r="AX225" s="251"/>
      <c r="AY225" s="839"/>
      <c r="AZ225" s="838"/>
      <c r="BA225" s="839"/>
    </row>
    <row r="226" spans="2:53" s="76" customFormat="1">
      <c r="B226" s="703"/>
      <c r="C226" s="220" t="s">
        <v>1382</v>
      </c>
      <c r="D226" s="217"/>
      <c r="E226" s="218"/>
      <c r="F226" s="218"/>
      <c r="G226" s="218"/>
      <c r="H226" s="745"/>
      <c r="I226" s="218"/>
      <c r="J226" s="745"/>
      <c r="K226" s="218"/>
      <c r="L226" s="218"/>
      <c r="M226" s="745"/>
      <c r="N226" s="218"/>
      <c r="O226" s="745"/>
      <c r="P226" s="218"/>
      <c r="Q226" s="218"/>
      <c r="R226" s="218"/>
      <c r="S226" s="218"/>
      <c r="T226" s="218"/>
      <c r="U226" s="218"/>
      <c r="V226" s="746"/>
      <c r="W226" s="218"/>
      <c r="X226" s="746"/>
      <c r="Y226" s="746"/>
      <c r="Z226" s="218"/>
      <c r="AA226" s="218"/>
      <c r="AB226" s="218"/>
      <c r="AC226" s="219"/>
      <c r="AD226" s="219"/>
      <c r="AE226" s="219"/>
      <c r="AF226" s="219"/>
      <c r="AG226" s="219"/>
      <c r="AH226" s="219"/>
      <c r="AI226" s="203">
        <f>G226*S226</f>
        <v>0</v>
      </c>
      <c r="AJ226" s="203">
        <f>G226*T226</f>
        <v>0</v>
      </c>
      <c r="AK226" s="203">
        <f>R226*S226</f>
        <v>0</v>
      </c>
      <c r="AL226" s="203">
        <f>R226*T226</f>
        <v>0</v>
      </c>
      <c r="AM226" s="203">
        <f t="shared" si="291"/>
        <v>0</v>
      </c>
      <c r="AN226" s="203">
        <f t="shared" si="291"/>
        <v>0</v>
      </c>
      <c r="AO226" s="205">
        <f>Z226*S226</f>
        <v>0</v>
      </c>
      <c r="AP226" s="205">
        <f>Z226*T226</f>
        <v>0</v>
      </c>
      <c r="AQ226" s="205">
        <f>AA226</f>
        <v>0</v>
      </c>
      <c r="AR226" s="205">
        <f>W226*S226</f>
        <v>0</v>
      </c>
      <c r="AS226" s="205">
        <f>W226*T226</f>
        <v>0</v>
      </c>
      <c r="AT226" s="209">
        <f t="shared" si="288"/>
        <v>0</v>
      </c>
      <c r="AU226" s="209">
        <f t="shared" si="288"/>
        <v>0</v>
      </c>
      <c r="AV226" s="203"/>
      <c r="AW226" s="251"/>
      <c r="AX226" s="251"/>
      <c r="AY226" s="839"/>
      <c r="AZ226" s="838"/>
      <c r="BA226" s="839"/>
    </row>
    <row r="227" spans="2:53" s="76" customFormat="1">
      <c r="B227" s="703"/>
      <c r="C227" s="197"/>
      <c r="D227" s="198"/>
      <c r="E227" s="703"/>
      <c r="F227" s="703"/>
      <c r="G227" s="199"/>
      <c r="H227" s="718"/>
      <c r="I227" s="703"/>
      <c r="J227" s="718"/>
      <c r="K227" s="703"/>
      <c r="L227" s="703"/>
      <c r="M227" s="718"/>
      <c r="N227" s="703"/>
      <c r="O227" s="718"/>
      <c r="P227" s="703"/>
      <c r="Q227" s="703"/>
      <c r="R227" s="199">
        <f>G227+I227+K227+L227+N227+P227+Q227</f>
        <v>0</v>
      </c>
      <c r="S227" s="199"/>
      <c r="T227" s="703"/>
      <c r="U227" s="703"/>
      <c r="V227" s="718"/>
      <c r="W227" s="703"/>
      <c r="X227" s="718"/>
      <c r="Y227" s="737">
        <v>0</v>
      </c>
      <c r="Z227" s="199">
        <f>R227*Y227</f>
        <v>0</v>
      </c>
      <c r="AA227" s="199"/>
      <c r="AB227" s="199">
        <f>(R227+Z227)*S227+AA227</f>
        <v>0</v>
      </c>
      <c r="AC227" s="738">
        <f>AF227</f>
        <v>0</v>
      </c>
      <c r="AD227" s="738">
        <f>AB227+AC227</f>
        <v>0</v>
      </c>
      <c r="AE227" s="202">
        <f>20000*S227</f>
        <v>0</v>
      </c>
      <c r="AF227" s="202">
        <f>AE227-AB227</f>
        <v>0</v>
      </c>
      <c r="AG227" s="738">
        <f>7100*S227</f>
        <v>0</v>
      </c>
      <c r="AH227" s="202">
        <f>AG227-(R227*S227)</f>
        <v>0</v>
      </c>
      <c r="AI227" s="203">
        <f>G227*S227</f>
        <v>0</v>
      </c>
      <c r="AJ227" s="203">
        <f>G227*T227</f>
        <v>0</v>
      </c>
      <c r="AK227" s="203">
        <f>R227*S227</f>
        <v>0</v>
      </c>
      <c r="AL227" s="203">
        <f>R227*T227</f>
        <v>0</v>
      </c>
      <c r="AM227" s="203">
        <f t="shared" si="291"/>
        <v>0</v>
      </c>
      <c r="AN227" s="203">
        <f t="shared" si="291"/>
        <v>0</v>
      </c>
      <c r="AO227" s="205">
        <f>Z227*S227</f>
        <v>0</v>
      </c>
      <c r="AP227" s="205">
        <f>Z227*T227</f>
        <v>0</v>
      </c>
      <c r="AQ227" s="205">
        <f>AA227</f>
        <v>0</v>
      </c>
      <c r="AR227" s="205">
        <f>W227*S227</f>
        <v>0</v>
      </c>
      <c r="AS227" s="205">
        <f>W227*T227</f>
        <v>0</v>
      </c>
      <c r="AT227" s="209">
        <f t="shared" si="288"/>
        <v>0</v>
      </c>
      <c r="AU227" s="209">
        <f t="shared" si="288"/>
        <v>0</v>
      </c>
      <c r="AV227" s="203"/>
      <c r="AW227" s="251">
        <f>AT227+AU227-AV227</f>
        <v>0</v>
      </c>
      <c r="AX227" s="251"/>
      <c r="AY227" s="838">
        <f>AW227</f>
        <v>0</v>
      </c>
      <c r="AZ227" s="838"/>
      <c r="BA227" s="839"/>
    </row>
    <row r="228" spans="2:53" s="76" customFormat="1" ht="58.5">
      <c r="B228" s="703">
        <f>1+B222</f>
        <v>157</v>
      </c>
      <c r="C228" s="197" t="s">
        <v>1026</v>
      </c>
      <c r="D228" s="198" t="s">
        <v>1773</v>
      </c>
      <c r="E228" s="703" t="s">
        <v>1774</v>
      </c>
      <c r="F228" s="703">
        <v>13</v>
      </c>
      <c r="G228" s="199">
        <v>7253</v>
      </c>
      <c r="H228" s="718"/>
      <c r="I228" s="703"/>
      <c r="J228" s="718"/>
      <c r="K228" s="703"/>
      <c r="L228" s="703"/>
      <c r="M228" s="718"/>
      <c r="N228" s="703"/>
      <c r="O228" s="718"/>
      <c r="P228" s="703"/>
      <c r="Q228" s="703"/>
      <c r="R228" s="199">
        <f>G228+I228+K228+L228+N228+P228+Q228</f>
        <v>7253</v>
      </c>
      <c r="S228" s="199"/>
      <c r="T228" s="703">
        <v>0.5</v>
      </c>
      <c r="U228" s="703"/>
      <c r="V228" s="718"/>
      <c r="W228" s="703"/>
      <c r="X228" s="718">
        <v>14</v>
      </c>
      <c r="Y228" s="737">
        <v>0.2</v>
      </c>
      <c r="Z228" s="199">
        <f>R228*Y228</f>
        <v>1450.6000000000001</v>
      </c>
      <c r="AA228" s="199"/>
      <c r="AB228" s="199">
        <f>(R228+Z228)*T228+AA228</f>
        <v>4351.8</v>
      </c>
      <c r="AC228" s="738">
        <f>AF228</f>
        <v>5648.2</v>
      </c>
      <c r="AD228" s="738">
        <f>AB228+AC228</f>
        <v>10000</v>
      </c>
      <c r="AE228" s="202">
        <f>20000*T228</f>
        <v>10000</v>
      </c>
      <c r="AF228" s="202">
        <f>AE228-AB228</f>
        <v>5648.2</v>
      </c>
      <c r="AG228" s="738">
        <f>7100*T228</f>
        <v>3550</v>
      </c>
      <c r="AH228" s="202">
        <f>AB228-AG228</f>
        <v>801.80000000000018</v>
      </c>
      <c r="AI228" s="203">
        <f>G228*S228</f>
        <v>0</v>
      </c>
      <c r="AJ228" s="203">
        <f>G228*T228</f>
        <v>3626.5</v>
      </c>
      <c r="AK228" s="203">
        <f>R228*S228</f>
        <v>0</v>
      </c>
      <c r="AL228" s="203">
        <f>R228*T228</f>
        <v>3626.5</v>
      </c>
      <c r="AM228" s="203">
        <f t="shared" si="291"/>
        <v>0</v>
      </c>
      <c r="AN228" s="203">
        <f t="shared" si="291"/>
        <v>0</v>
      </c>
      <c r="AO228" s="205">
        <f>Z228*S228</f>
        <v>0</v>
      </c>
      <c r="AP228" s="205">
        <f>Z228*T228</f>
        <v>725.30000000000007</v>
      </c>
      <c r="AQ228" s="205">
        <f>AA228</f>
        <v>0</v>
      </c>
      <c r="AR228" s="205">
        <f>W228*S228</f>
        <v>0</v>
      </c>
      <c r="AS228" s="205">
        <f>W228*T228</f>
        <v>0</v>
      </c>
      <c r="AT228" s="209">
        <f t="shared" si="288"/>
        <v>0</v>
      </c>
      <c r="AU228" s="209">
        <f t="shared" si="288"/>
        <v>3626.5</v>
      </c>
      <c r="AV228" s="203"/>
      <c r="AW228" s="251">
        <f>R228*T228</f>
        <v>3626.5</v>
      </c>
      <c r="AX228" s="251"/>
      <c r="AY228" s="838">
        <f>AW228</f>
        <v>3626.5</v>
      </c>
      <c r="AZ228" s="838"/>
      <c r="BA228" s="839"/>
    </row>
    <row r="229" spans="2:53" s="76" customFormat="1">
      <c r="B229" s="703"/>
      <c r="C229" s="180" t="s">
        <v>1736</v>
      </c>
      <c r="D229" s="207"/>
      <c r="E229" s="193"/>
      <c r="F229" s="193"/>
      <c r="G229" s="183">
        <f>SUM(G227:G228)</f>
        <v>7253</v>
      </c>
      <c r="H229" s="752"/>
      <c r="I229" s="183">
        <f>SUM(I227:I228)</f>
        <v>0</v>
      </c>
      <c r="J229" s="731"/>
      <c r="K229" s="193"/>
      <c r="L229" s="193"/>
      <c r="M229" s="731"/>
      <c r="N229" s="193"/>
      <c r="O229" s="731"/>
      <c r="P229" s="193"/>
      <c r="Q229" s="193"/>
      <c r="R229" s="183">
        <f>SUM(R227:R228)</f>
        <v>7253</v>
      </c>
      <c r="S229" s="183">
        <f>SUM(S227:S228)</f>
        <v>0</v>
      </c>
      <c r="T229" s="183">
        <f>SUM(T227:T228)</f>
        <v>0.5</v>
      </c>
      <c r="U229" s="183"/>
      <c r="V229" s="742"/>
      <c r="W229" s="183"/>
      <c r="X229" s="742"/>
      <c r="Y229" s="742"/>
      <c r="Z229" s="183">
        <f t="shared" ref="Z229:AV229" si="292">SUM(Z227:Z228)</f>
        <v>1450.6000000000001</v>
      </c>
      <c r="AA229" s="183">
        <f t="shared" si="292"/>
        <v>0</v>
      </c>
      <c r="AB229" s="183">
        <f t="shared" si="292"/>
        <v>4351.8</v>
      </c>
      <c r="AC229" s="183">
        <f t="shared" si="292"/>
        <v>5648.2</v>
      </c>
      <c r="AD229" s="183">
        <f>SUM(AD227:AD228)</f>
        <v>10000</v>
      </c>
      <c r="AE229" s="183">
        <f t="shared" si="292"/>
        <v>10000</v>
      </c>
      <c r="AF229" s="183">
        <f t="shared" si="292"/>
        <v>5648.2</v>
      </c>
      <c r="AG229" s="183">
        <f t="shared" si="292"/>
        <v>3550</v>
      </c>
      <c r="AH229" s="183">
        <f t="shared" si="292"/>
        <v>801.80000000000018</v>
      </c>
      <c r="AI229" s="183">
        <f t="shared" si="292"/>
        <v>0</v>
      </c>
      <c r="AJ229" s="183">
        <f t="shared" si="292"/>
        <v>3626.5</v>
      </c>
      <c r="AK229" s="183">
        <f t="shared" si="292"/>
        <v>0</v>
      </c>
      <c r="AL229" s="183">
        <f t="shared" si="292"/>
        <v>3626.5</v>
      </c>
      <c r="AM229" s="183">
        <f t="shared" si="292"/>
        <v>0</v>
      </c>
      <c r="AN229" s="183">
        <f t="shared" si="292"/>
        <v>0</v>
      </c>
      <c r="AO229" s="183">
        <f t="shared" si="292"/>
        <v>0</v>
      </c>
      <c r="AP229" s="183">
        <f t="shared" si="292"/>
        <v>725.30000000000007</v>
      </c>
      <c r="AQ229" s="183">
        <f t="shared" si="292"/>
        <v>0</v>
      </c>
      <c r="AR229" s="183">
        <f t="shared" si="292"/>
        <v>0</v>
      </c>
      <c r="AS229" s="183">
        <f t="shared" si="292"/>
        <v>0</v>
      </c>
      <c r="AT229" s="183">
        <f t="shared" si="292"/>
        <v>0</v>
      </c>
      <c r="AU229" s="183">
        <f t="shared" si="292"/>
        <v>3626.5</v>
      </c>
      <c r="AV229" s="183">
        <f t="shared" si="292"/>
        <v>0</v>
      </c>
      <c r="AW229" s="183">
        <f>SUM(AW227:AW228)</f>
        <v>3626.5</v>
      </c>
      <c r="AX229" s="251"/>
      <c r="AY229" s="839"/>
      <c r="AZ229" s="838"/>
      <c r="BA229" s="839"/>
    </row>
    <row r="230" spans="2:53" s="76" customFormat="1">
      <c r="B230" s="703"/>
      <c r="C230" s="220" t="s">
        <v>1581</v>
      </c>
      <c r="D230" s="192"/>
      <c r="E230" s="193"/>
      <c r="F230" s="193"/>
      <c r="G230" s="193"/>
      <c r="H230" s="731"/>
      <c r="I230" s="193"/>
      <c r="J230" s="731"/>
      <c r="K230" s="193"/>
      <c r="L230" s="193"/>
      <c r="M230" s="731"/>
      <c r="N230" s="193"/>
      <c r="O230" s="731"/>
      <c r="P230" s="193"/>
      <c r="Q230" s="193"/>
      <c r="R230" s="193"/>
      <c r="S230" s="193"/>
      <c r="T230" s="193"/>
      <c r="U230" s="193"/>
      <c r="V230" s="732"/>
      <c r="W230" s="193"/>
      <c r="X230" s="732"/>
      <c r="Y230" s="732"/>
      <c r="Z230" s="193"/>
      <c r="AA230" s="193"/>
      <c r="AB230" s="193"/>
      <c r="AC230" s="195"/>
      <c r="AD230" s="195"/>
      <c r="AE230" s="195"/>
      <c r="AF230" s="195"/>
      <c r="AG230" s="195"/>
      <c r="AH230" s="195"/>
      <c r="AI230" s="203"/>
      <c r="AJ230" s="203"/>
      <c r="AK230" s="203"/>
      <c r="AL230" s="203"/>
      <c r="AM230" s="203"/>
      <c r="AN230" s="203"/>
      <c r="AO230" s="205"/>
      <c r="AP230" s="205"/>
      <c r="AQ230" s="205"/>
      <c r="AR230" s="205"/>
      <c r="AS230" s="205"/>
      <c r="AT230" s="209"/>
      <c r="AU230" s="209"/>
      <c r="AV230" s="203"/>
      <c r="AW230" s="251"/>
      <c r="AX230" s="251"/>
      <c r="AY230" s="839"/>
      <c r="AZ230" s="838"/>
      <c r="BA230" s="839"/>
    </row>
    <row r="231" spans="2:53" s="76" customFormat="1" ht="63">
      <c r="B231" s="703">
        <f>B228+1</f>
        <v>158</v>
      </c>
      <c r="C231" s="197" t="s">
        <v>1080</v>
      </c>
      <c r="D231" s="198" t="s">
        <v>1367</v>
      </c>
      <c r="E231" s="206" t="s">
        <v>1133</v>
      </c>
      <c r="F231" s="703">
        <v>9</v>
      </c>
      <c r="G231" s="199">
        <v>5527</v>
      </c>
      <c r="H231" s="737">
        <v>0.1</v>
      </c>
      <c r="I231" s="703">
        <f>G231*H231</f>
        <v>552.70000000000005</v>
      </c>
      <c r="J231" s="736"/>
      <c r="K231" s="199"/>
      <c r="L231" s="199"/>
      <c r="M231" s="736"/>
      <c r="N231" s="199"/>
      <c r="O231" s="736"/>
      <c r="P231" s="199"/>
      <c r="Q231" s="199"/>
      <c r="R231" s="199">
        <f t="shared" ref="R231:R236" si="293">G231+I231+K231+L231+N231+P231+Q231</f>
        <v>6079.7</v>
      </c>
      <c r="S231" s="199">
        <v>1</v>
      </c>
      <c r="T231" s="199"/>
      <c r="U231" s="199"/>
      <c r="V231" s="736"/>
      <c r="W231" s="199"/>
      <c r="X231" s="718">
        <v>16</v>
      </c>
      <c r="Y231" s="737">
        <v>0.2</v>
      </c>
      <c r="Z231" s="199">
        <f t="shared" ref="Z231:Z236" si="294">R231*Y231</f>
        <v>1215.94</v>
      </c>
      <c r="AA231" s="199"/>
      <c r="AB231" s="199">
        <f t="shared" ref="AB231:AB236" si="295">(R231+Z231)*S231+AA231</f>
        <v>7295.6399999999994</v>
      </c>
      <c r="AC231" s="738">
        <f t="shared" ref="AC231:AC236" si="296">AF231</f>
        <v>6204.3600000000006</v>
      </c>
      <c r="AD231" s="738">
        <f t="shared" ref="AD231:AD236" si="297">AB231+AC231</f>
        <v>13500</v>
      </c>
      <c r="AE231" s="202">
        <f t="shared" ref="AE231:AE236" si="298">13500*S231</f>
        <v>13500</v>
      </c>
      <c r="AF231" s="202">
        <f t="shared" ref="AF231:AF236" si="299">AE231-AB231</f>
        <v>6204.3600000000006</v>
      </c>
      <c r="AG231" s="738">
        <f t="shared" ref="AG231:AG236" si="300">7100*S231</f>
        <v>7100</v>
      </c>
      <c r="AH231" s="202">
        <f t="shared" ref="AH231:AH236" si="301">AG231-(R231*S231)-Z231</f>
        <v>-195.63999999999987</v>
      </c>
      <c r="AI231" s="203">
        <f t="shared" ref="AI231:AI236" si="302">G231*S231</f>
        <v>5527</v>
      </c>
      <c r="AJ231" s="203">
        <f t="shared" ref="AJ231:AJ236" si="303">G231*T231</f>
        <v>0</v>
      </c>
      <c r="AK231" s="203">
        <f t="shared" ref="AK231:AK236" si="304">R231*S231</f>
        <v>6079.7</v>
      </c>
      <c r="AL231" s="203">
        <f t="shared" ref="AL231:AL236" si="305">R231*T231</f>
        <v>0</v>
      </c>
      <c r="AM231" s="203">
        <f t="shared" ref="AM231:AN236" si="306">AK231-AI231</f>
        <v>552.69999999999982</v>
      </c>
      <c r="AN231" s="203">
        <f t="shared" si="306"/>
        <v>0</v>
      </c>
      <c r="AO231" s="205">
        <f t="shared" ref="AO231:AO236" si="307">Z231*S231</f>
        <v>1215.94</v>
      </c>
      <c r="AP231" s="205">
        <f t="shared" ref="AP231:AP236" si="308">Z231*T231</f>
        <v>0</v>
      </c>
      <c r="AQ231" s="205">
        <f t="shared" ref="AQ231:AQ236" si="309">AA231</f>
        <v>0</v>
      </c>
      <c r="AR231" s="205">
        <f t="shared" ref="AR231:AR236" si="310">W231*S231</f>
        <v>0</v>
      </c>
      <c r="AS231" s="205">
        <f t="shared" ref="AS231:AS236" si="311">W231*T231</f>
        <v>0</v>
      </c>
      <c r="AT231" s="209">
        <f t="shared" si="288"/>
        <v>6079.7</v>
      </c>
      <c r="AU231" s="209">
        <f t="shared" si="288"/>
        <v>0</v>
      </c>
      <c r="AV231" s="203"/>
      <c r="AW231" s="251">
        <f t="shared" ref="AW231:AW236" si="312">R231*S231</f>
        <v>6079.7</v>
      </c>
      <c r="AX231" s="251"/>
      <c r="AY231" s="838">
        <f t="shared" ref="AY231:AY236" si="313">AW231</f>
        <v>6079.7</v>
      </c>
      <c r="AZ231" s="838"/>
      <c r="BA231" s="839"/>
    </row>
    <row r="232" spans="2:53" s="76" customFormat="1" ht="87.75">
      <c r="B232" s="703">
        <f t="shared" si="280"/>
        <v>159</v>
      </c>
      <c r="C232" s="197" t="s">
        <v>1132</v>
      </c>
      <c r="D232" s="198" t="s">
        <v>1864</v>
      </c>
      <c r="E232" s="703" t="s">
        <v>1134</v>
      </c>
      <c r="F232" s="703">
        <v>9</v>
      </c>
      <c r="G232" s="199">
        <v>5527</v>
      </c>
      <c r="H232" s="736"/>
      <c r="I232" s="199"/>
      <c r="J232" s="736"/>
      <c r="K232" s="199"/>
      <c r="L232" s="199"/>
      <c r="M232" s="736"/>
      <c r="N232" s="199"/>
      <c r="O232" s="736"/>
      <c r="P232" s="199"/>
      <c r="Q232" s="199"/>
      <c r="R232" s="199">
        <f t="shared" si="293"/>
        <v>5527</v>
      </c>
      <c r="S232" s="199">
        <f>0.5+0.5</f>
        <v>1</v>
      </c>
      <c r="T232" s="199"/>
      <c r="U232" s="199"/>
      <c r="V232" s="736"/>
      <c r="W232" s="199"/>
      <c r="X232" s="718">
        <v>36</v>
      </c>
      <c r="Y232" s="737">
        <v>0.3</v>
      </c>
      <c r="Z232" s="199">
        <f t="shared" si="294"/>
        <v>1658.1</v>
      </c>
      <c r="AA232" s="199"/>
      <c r="AB232" s="199">
        <f t="shared" si="295"/>
        <v>7185.1</v>
      </c>
      <c r="AC232" s="738">
        <f t="shared" si="296"/>
        <v>6314.9</v>
      </c>
      <c r="AD232" s="738">
        <f t="shared" si="297"/>
        <v>13500</v>
      </c>
      <c r="AE232" s="202">
        <f t="shared" si="298"/>
        <v>13500</v>
      </c>
      <c r="AF232" s="202">
        <f t="shared" si="299"/>
        <v>6314.9</v>
      </c>
      <c r="AG232" s="738">
        <f t="shared" si="300"/>
        <v>7100</v>
      </c>
      <c r="AH232" s="202">
        <f t="shared" si="301"/>
        <v>-85.099999999999909</v>
      </c>
      <c r="AI232" s="203">
        <f t="shared" si="302"/>
        <v>5527</v>
      </c>
      <c r="AJ232" s="203">
        <f t="shared" si="303"/>
        <v>0</v>
      </c>
      <c r="AK232" s="203">
        <f t="shared" si="304"/>
        <v>5527</v>
      </c>
      <c r="AL232" s="203">
        <f t="shared" si="305"/>
        <v>0</v>
      </c>
      <c r="AM232" s="203">
        <f t="shared" si="306"/>
        <v>0</v>
      </c>
      <c r="AN232" s="203">
        <f t="shared" si="306"/>
        <v>0</v>
      </c>
      <c r="AO232" s="205">
        <f t="shared" si="307"/>
        <v>1658.1</v>
      </c>
      <c r="AP232" s="205">
        <f t="shared" si="308"/>
        <v>0</v>
      </c>
      <c r="AQ232" s="205">
        <f t="shared" si="309"/>
        <v>0</v>
      </c>
      <c r="AR232" s="205">
        <f t="shared" si="310"/>
        <v>0</v>
      </c>
      <c r="AS232" s="205">
        <f t="shared" si="311"/>
        <v>0</v>
      </c>
      <c r="AT232" s="209">
        <f t="shared" si="288"/>
        <v>5527</v>
      </c>
      <c r="AU232" s="209">
        <f t="shared" si="288"/>
        <v>0</v>
      </c>
      <c r="AV232" s="203"/>
      <c r="AW232" s="251">
        <f t="shared" si="312"/>
        <v>5527</v>
      </c>
      <c r="AX232" s="251"/>
      <c r="AY232" s="838">
        <f t="shared" si="313"/>
        <v>5527</v>
      </c>
      <c r="AZ232" s="838"/>
      <c r="BA232" s="839"/>
    </row>
    <row r="233" spans="2:53" s="76" customFormat="1" ht="87.75">
      <c r="B233" s="703">
        <f t="shared" si="280"/>
        <v>160</v>
      </c>
      <c r="C233" s="197" t="s">
        <v>1132</v>
      </c>
      <c r="D233" s="198" t="s">
        <v>182</v>
      </c>
      <c r="E233" s="703" t="s">
        <v>1093</v>
      </c>
      <c r="F233" s="703">
        <v>9</v>
      </c>
      <c r="G233" s="199">
        <v>5527</v>
      </c>
      <c r="H233" s="736"/>
      <c r="I233" s="199"/>
      <c r="J233" s="736"/>
      <c r="K233" s="199"/>
      <c r="L233" s="199"/>
      <c r="M233" s="736"/>
      <c r="N233" s="199"/>
      <c r="O233" s="736"/>
      <c r="P233" s="199"/>
      <c r="Q233" s="199"/>
      <c r="R233" s="199">
        <f t="shared" si="293"/>
        <v>5527</v>
      </c>
      <c r="S233" s="199">
        <v>1</v>
      </c>
      <c r="T233" s="199"/>
      <c r="U233" s="199"/>
      <c r="V233" s="736"/>
      <c r="W233" s="199"/>
      <c r="X233" s="718">
        <v>28</v>
      </c>
      <c r="Y233" s="737">
        <v>0.3</v>
      </c>
      <c r="Z233" s="199">
        <f t="shared" si="294"/>
        <v>1658.1</v>
      </c>
      <c r="AA233" s="199"/>
      <c r="AB233" s="199">
        <f t="shared" si="295"/>
        <v>7185.1</v>
      </c>
      <c r="AC233" s="738">
        <f t="shared" si="296"/>
        <v>6314.9</v>
      </c>
      <c r="AD233" s="738">
        <f t="shared" si="297"/>
        <v>13500</v>
      </c>
      <c r="AE233" s="202">
        <f t="shared" si="298"/>
        <v>13500</v>
      </c>
      <c r="AF233" s="202">
        <f t="shared" si="299"/>
        <v>6314.9</v>
      </c>
      <c r="AG233" s="738">
        <f t="shared" si="300"/>
        <v>7100</v>
      </c>
      <c r="AH233" s="202">
        <f t="shared" si="301"/>
        <v>-85.099999999999909</v>
      </c>
      <c r="AI233" s="203">
        <f t="shared" si="302"/>
        <v>5527</v>
      </c>
      <c r="AJ233" s="203">
        <f t="shared" si="303"/>
        <v>0</v>
      </c>
      <c r="AK233" s="203">
        <f t="shared" si="304"/>
        <v>5527</v>
      </c>
      <c r="AL233" s="203">
        <f t="shared" si="305"/>
        <v>0</v>
      </c>
      <c r="AM233" s="203">
        <f t="shared" si="306"/>
        <v>0</v>
      </c>
      <c r="AN233" s="203">
        <f t="shared" si="306"/>
        <v>0</v>
      </c>
      <c r="AO233" s="205">
        <f t="shared" si="307"/>
        <v>1658.1</v>
      </c>
      <c r="AP233" s="205">
        <f t="shared" si="308"/>
        <v>0</v>
      </c>
      <c r="AQ233" s="205">
        <f t="shared" si="309"/>
        <v>0</v>
      </c>
      <c r="AR233" s="205">
        <f t="shared" si="310"/>
        <v>0</v>
      </c>
      <c r="AS233" s="205">
        <f t="shared" si="311"/>
        <v>0</v>
      </c>
      <c r="AT233" s="209">
        <f t="shared" si="288"/>
        <v>5527</v>
      </c>
      <c r="AU233" s="209">
        <f t="shared" si="288"/>
        <v>0</v>
      </c>
      <c r="AV233" s="203"/>
      <c r="AW233" s="251">
        <f t="shared" si="312"/>
        <v>5527</v>
      </c>
      <c r="AX233" s="251"/>
      <c r="AY233" s="838">
        <f t="shared" si="313"/>
        <v>5527</v>
      </c>
      <c r="AZ233" s="838"/>
      <c r="BA233" s="839"/>
    </row>
    <row r="234" spans="2:53" s="76" customFormat="1" ht="63">
      <c r="B234" s="703">
        <f t="shared" si="280"/>
        <v>161</v>
      </c>
      <c r="C234" s="197" t="s">
        <v>1132</v>
      </c>
      <c r="D234" s="198" t="s">
        <v>1115</v>
      </c>
      <c r="E234" s="703" t="s">
        <v>1116</v>
      </c>
      <c r="F234" s="703">
        <v>9</v>
      </c>
      <c r="G234" s="199">
        <v>5527</v>
      </c>
      <c r="H234" s="736"/>
      <c r="I234" s="199"/>
      <c r="J234" s="736"/>
      <c r="K234" s="199"/>
      <c r="L234" s="199"/>
      <c r="M234" s="736"/>
      <c r="N234" s="199"/>
      <c r="O234" s="736"/>
      <c r="P234" s="206"/>
      <c r="Q234" s="206"/>
      <c r="R234" s="199">
        <f t="shared" si="293"/>
        <v>5527</v>
      </c>
      <c r="S234" s="199">
        <v>1</v>
      </c>
      <c r="T234" s="199"/>
      <c r="U234" s="206"/>
      <c r="V234" s="741"/>
      <c r="W234" s="206"/>
      <c r="X234" s="718">
        <v>17</v>
      </c>
      <c r="Y234" s="737">
        <v>0.2</v>
      </c>
      <c r="Z234" s="199">
        <f t="shared" si="294"/>
        <v>1105.4000000000001</v>
      </c>
      <c r="AA234" s="199">
        <f>AH234</f>
        <v>467.59999999999991</v>
      </c>
      <c r="AB234" s="199">
        <f t="shared" si="295"/>
        <v>7100</v>
      </c>
      <c r="AC234" s="738">
        <f t="shared" si="296"/>
        <v>6400</v>
      </c>
      <c r="AD234" s="738">
        <f t="shared" si="297"/>
        <v>13500</v>
      </c>
      <c r="AE234" s="202">
        <f t="shared" si="298"/>
        <v>13500</v>
      </c>
      <c r="AF234" s="202">
        <f t="shared" si="299"/>
        <v>6400</v>
      </c>
      <c r="AG234" s="738">
        <f t="shared" si="300"/>
        <v>7100</v>
      </c>
      <c r="AH234" s="202">
        <f t="shared" si="301"/>
        <v>467.59999999999991</v>
      </c>
      <c r="AI234" s="203">
        <f t="shared" si="302"/>
        <v>5527</v>
      </c>
      <c r="AJ234" s="203">
        <f t="shared" si="303"/>
        <v>0</v>
      </c>
      <c r="AK234" s="203">
        <f t="shared" si="304"/>
        <v>5527</v>
      </c>
      <c r="AL234" s="203">
        <f t="shared" si="305"/>
        <v>0</v>
      </c>
      <c r="AM234" s="203">
        <f t="shared" si="306"/>
        <v>0</v>
      </c>
      <c r="AN234" s="203">
        <f t="shared" si="306"/>
        <v>0</v>
      </c>
      <c r="AO234" s="205">
        <f t="shared" si="307"/>
        <v>1105.4000000000001</v>
      </c>
      <c r="AP234" s="205">
        <f t="shared" si="308"/>
        <v>0</v>
      </c>
      <c r="AQ234" s="205">
        <f t="shared" si="309"/>
        <v>467.59999999999991</v>
      </c>
      <c r="AR234" s="205">
        <f t="shared" si="310"/>
        <v>0</v>
      </c>
      <c r="AS234" s="205">
        <f t="shared" si="311"/>
        <v>0</v>
      </c>
      <c r="AT234" s="209">
        <f t="shared" si="288"/>
        <v>5527</v>
      </c>
      <c r="AU234" s="209">
        <f t="shared" si="288"/>
        <v>0</v>
      </c>
      <c r="AV234" s="203"/>
      <c r="AW234" s="251">
        <f t="shared" si="312"/>
        <v>5527</v>
      </c>
      <c r="AX234" s="251"/>
      <c r="AY234" s="838">
        <f t="shared" si="313"/>
        <v>5527</v>
      </c>
      <c r="AZ234" s="838"/>
      <c r="BA234" s="839"/>
    </row>
    <row r="235" spans="2:53" s="76" customFormat="1" ht="63">
      <c r="B235" s="703">
        <f t="shared" si="280"/>
        <v>162</v>
      </c>
      <c r="C235" s="197" t="s">
        <v>1132</v>
      </c>
      <c r="D235" s="198" t="s">
        <v>1862</v>
      </c>
      <c r="E235" s="703" t="s">
        <v>1138</v>
      </c>
      <c r="F235" s="703">
        <v>9</v>
      </c>
      <c r="G235" s="199">
        <v>5527</v>
      </c>
      <c r="H235" s="736"/>
      <c r="I235" s="199"/>
      <c r="J235" s="737"/>
      <c r="K235" s="201"/>
      <c r="L235" s="201"/>
      <c r="M235" s="736"/>
      <c r="N235" s="199"/>
      <c r="O235" s="736"/>
      <c r="P235" s="206"/>
      <c r="Q235" s="206"/>
      <c r="R235" s="199">
        <f t="shared" si="293"/>
        <v>5527</v>
      </c>
      <c r="S235" s="199">
        <v>1</v>
      </c>
      <c r="T235" s="199"/>
      <c r="U235" s="206"/>
      <c r="V235" s="741"/>
      <c r="W235" s="206"/>
      <c r="X235" s="718">
        <v>22</v>
      </c>
      <c r="Y235" s="737">
        <v>0.3</v>
      </c>
      <c r="Z235" s="199">
        <f t="shared" si="294"/>
        <v>1658.1</v>
      </c>
      <c r="AA235" s="199"/>
      <c r="AB235" s="199">
        <f t="shared" si="295"/>
        <v>7185.1</v>
      </c>
      <c r="AC235" s="738">
        <f t="shared" si="296"/>
        <v>6314.9</v>
      </c>
      <c r="AD235" s="738">
        <f t="shared" si="297"/>
        <v>13500</v>
      </c>
      <c r="AE235" s="202">
        <f t="shared" si="298"/>
        <v>13500</v>
      </c>
      <c r="AF235" s="202">
        <f t="shared" si="299"/>
        <v>6314.9</v>
      </c>
      <c r="AG235" s="738">
        <f t="shared" si="300"/>
        <v>7100</v>
      </c>
      <c r="AH235" s="202">
        <f t="shared" si="301"/>
        <v>-85.099999999999909</v>
      </c>
      <c r="AI235" s="203">
        <f t="shared" si="302"/>
        <v>5527</v>
      </c>
      <c r="AJ235" s="203">
        <f t="shared" si="303"/>
        <v>0</v>
      </c>
      <c r="AK235" s="203">
        <f t="shared" si="304"/>
        <v>5527</v>
      </c>
      <c r="AL235" s="203">
        <f t="shared" si="305"/>
        <v>0</v>
      </c>
      <c r="AM235" s="203">
        <f t="shared" si="306"/>
        <v>0</v>
      </c>
      <c r="AN235" s="203">
        <f>AL235-AJ235</f>
        <v>0</v>
      </c>
      <c r="AO235" s="205">
        <f t="shared" si="307"/>
        <v>1658.1</v>
      </c>
      <c r="AP235" s="205">
        <f t="shared" si="308"/>
        <v>0</v>
      </c>
      <c r="AQ235" s="205">
        <f t="shared" si="309"/>
        <v>0</v>
      </c>
      <c r="AR235" s="205">
        <f t="shared" si="310"/>
        <v>0</v>
      </c>
      <c r="AS235" s="205">
        <f t="shared" si="311"/>
        <v>0</v>
      </c>
      <c r="AT235" s="209">
        <f t="shared" si="288"/>
        <v>5527</v>
      </c>
      <c r="AU235" s="209">
        <f t="shared" si="288"/>
        <v>0</v>
      </c>
      <c r="AV235" s="203"/>
      <c r="AW235" s="251">
        <f t="shared" si="312"/>
        <v>5527</v>
      </c>
      <c r="AX235" s="251"/>
      <c r="AY235" s="838">
        <f t="shared" si="313"/>
        <v>5527</v>
      </c>
      <c r="AZ235" s="838"/>
      <c r="BA235" s="839"/>
    </row>
    <row r="236" spans="2:53" s="76" customFormat="1" ht="63">
      <c r="B236" s="703">
        <f t="shared" si="280"/>
        <v>163</v>
      </c>
      <c r="C236" s="197" t="s">
        <v>1132</v>
      </c>
      <c r="D236" s="198" t="s">
        <v>1863</v>
      </c>
      <c r="E236" s="703" t="s">
        <v>1117</v>
      </c>
      <c r="F236" s="703">
        <v>9</v>
      </c>
      <c r="G236" s="199">
        <v>5527</v>
      </c>
      <c r="H236" s="736"/>
      <c r="I236" s="199"/>
      <c r="J236" s="737"/>
      <c r="K236" s="201"/>
      <c r="L236" s="201"/>
      <c r="M236" s="736"/>
      <c r="N236" s="199"/>
      <c r="O236" s="736"/>
      <c r="P236" s="206"/>
      <c r="Q236" s="206"/>
      <c r="R236" s="199">
        <f t="shared" si="293"/>
        <v>5527</v>
      </c>
      <c r="S236" s="199">
        <v>1</v>
      </c>
      <c r="T236" s="199"/>
      <c r="U236" s="206"/>
      <c r="V236" s="741"/>
      <c r="W236" s="206"/>
      <c r="X236" s="718">
        <v>36</v>
      </c>
      <c r="Y236" s="737">
        <v>0.3</v>
      </c>
      <c r="Z236" s="199">
        <f t="shared" si="294"/>
        <v>1658.1</v>
      </c>
      <c r="AA236" s="199"/>
      <c r="AB236" s="199">
        <f t="shared" si="295"/>
        <v>7185.1</v>
      </c>
      <c r="AC236" s="738">
        <f t="shared" si="296"/>
        <v>6314.9</v>
      </c>
      <c r="AD236" s="738">
        <f t="shared" si="297"/>
        <v>13500</v>
      </c>
      <c r="AE236" s="202">
        <f t="shared" si="298"/>
        <v>13500</v>
      </c>
      <c r="AF236" s="202">
        <f t="shared" si="299"/>
        <v>6314.9</v>
      </c>
      <c r="AG236" s="738">
        <f t="shared" si="300"/>
        <v>7100</v>
      </c>
      <c r="AH236" s="202">
        <f t="shared" si="301"/>
        <v>-85.099999999999909</v>
      </c>
      <c r="AI236" s="203">
        <f t="shared" si="302"/>
        <v>5527</v>
      </c>
      <c r="AJ236" s="203">
        <f t="shared" si="303"/>
        <v>0</v>
      </c>
      <c r="AK236" s="203">
        <f t="shared" si="304"/>
        <v>5527</v>
      </c>
      <c r="AL236" s="203">
        <f t="shared" si="305"/>
        <v>0</v>
      </c>
      <c r="AM236" s="203">
        <f t="shared" si="306"/>
        <v>0</v>
      </c>
      <c r="AN236" s="203">
        <f t="shared" si="306"/>
        <v>0</v>
      </c>
      <c r="AO236" s="205">
        <f t="shared" si="307"/>
        <v>1658.1</v>
      </c>
      <c r="AP236" s="205">
        <f t="shared" si="308"/>
        <v>0</v>
      </c>
      <c r="AQ236" s="205">
        <f t="shared" si="309"/>
        <v>0</v>
      </c>
      <c r="AR236" s="205">
        <f t="shared" si="310"/>
        <v>0</v>
      </c>
      <c r="AS236" s="205">
        <f t="shared" si="311"/>
        <v>0</v>
      </c>
      <c r="AT236" s="209">
        <f t="shared" si="288"/>
        <v>5527</v>
      </c>
      <c r="AU236" s="209">
        <f t="shared" si="288"/>
        <v>0</v>
      </c>
      <c r="AV236" s="203"/>
      <c r="AW236" s="251">
        <f t="shared" si="312"/>
        <v>5527</v>
      </c>
      <c r="AX236" s="251"/>
      <c r="AY236" s="838">
        <f t="shared" si="313"/>
        <v>5527</v>
      </c>
      <c r="AZ236" s="838"/>
      <c r="BA236" s="839"/>
    </row>
    <row r="237" spans="2:53" s="76" customFormat="1">
      <c r="B237" s="703"/>
      <c r="C237" s="180" t="s">
        <v>1736</v>
      </c>
      <c r="D237" s="207"/>
      <c r="E237" s="193"/>
      <c r="F237" s="193"/>
      <c r="G237" s="183">
        <f>SUM(G231:G236)</f>
        <v>33162</v>
      </c>
      <c r="H237" s="752"/>
      <c r="I237" s="183">
        <f>SUM(I231:I236)</f>
        <v>552.70000000000005</v>
      </c>
      <c r="J237" s="731"/>
      <c r="K237" s="193"/>
      <c r="L237" s="193"/>
      <c r="M237" s="731"/>
      <c r="N237" s="193"/>
      <c r="O237" s="731"/>
      <c r="P237" s="193"/>
      <c r="Q237" s="193"/>
      <c r="R237" s="183">
        <f>SUM(R231:R236)</f>
        <v>33714.699999999997</v>
      </c>
      <c r="S237" s="183">
        <f>SUM(S231:S236)</f>
        <v>6</v>
      </c>
      <c r="T237" s="183">
        <f>SUM(T231:T236)</f>
        <v>0</v>
      </c>
      <c r="U237" s="183"/>
      <c r="V237" s="742"/>
      <c r="W237" s="183"/>
      <c r="X237" s="742"/>
      <c r="Y237" s="742"/>
      <c r="Z237" s="183">
        <f t="shared" ref="Z237:AV237" si="314">SUM(Z231:Z236)</f>
        <v>8953.74</v>
      </c>
      <c r="AA237" s="183">
        <f t="shared" si="314"/>
        <v>467.59999999999991</v>
      </c>
      <c r="AB237" s="183">
        <f t="shared" si="314"/>
        <v>43136.04</v>
      </c>
      <c r="AC237" s="183">
        <f t="shared" si="314"/>
        <v>37863.96</v>
      </c>
      <c r="AD237" s="183">
        <f>SUM(AD231:AD236)</f>
        <v>81000</v>
      </c>
      <c r="AE237" s="183">
        <f t="shared" si="314"/>
        <v>81000</v>
      </c>
      <c r="AF237" s="183">
        <f t="shared" si="314"/>
        <v>37863.96</v>
      </c>
      <c r="AG237" s="183">
        <f t="shared" si="314"/>
        <v>42600</v>
      </c>
      <c r="AH237" s="183">
        <f t="shared" si="314"/>
        <v>-68.4399999999996</v>
      </c>
      <c r="AI237" s="183">
        <f t="shared" si="314"/>
        <v>33162</v>
      </c>
      <c r="AJ237" s="183">
        <f t="shared" si="314"/>
        <v>0</v>
      </c>
      <c r="AK237" s="183">
        <f t="shared" si="314"/>
        <v>33714.699999999997</v>
      </c>
      <c r="AL237" s="183">
        <f t="shared" si="314"/>
        <v>0</v>
      </c>
      <c r="AM237" s="183">
        <f t="shared" si="314"/>
        <v>552.69999999999982</v>
      </c>
      <c r="AN237" s="183">
        <f t="shared" si="314"/>
        <v>0</v>
      </c>
      <c r="AO237" s="183">
        <f t="shared" si="314"/>
        <v>8953.74</v>
      </c>
      <c r="AP237" s="183">
        <f t="shared" si="314"/>
        <v>0</v>
      </c>
      <c r="AQ237" s="183">
        <f t="shared" si="314"/>
        <v>467.59999999999991</v>
      </c>
      <c r="AR237" s="183">
        <f t="shared" si="314"/>
        <v>0</v>
      </c>
      <c r="AS237" s="183">
        <f t="shared" si="314"/>
        <v>0</v>
      </c>
      <c r="AT237" s="183">
        <f t="shared" si="314"/>
        <v>33714.699999999997</v>
      </c>
      <c r="AU237" s="183">
        <f t="shared" si="314"/>
        <v>0</v>
      </c>
      <c r="AV237" s="183">
        <f t="shared" si="314"/>
        <v>0</v>
      </c>
      <c r="AW237" s="183">
        <f>SUM(AW231:AW236)</f>
        <v>33714.699999999997</v>
      </c>
      <c r="AX237" s="251"/>
      <c r="AY237" s="839"/>
      <c r="AZ237" s="838"/>
      <c r="BA237" s="839"/>
    </row>
    <row r="238" spans="2:53" s="76" customFormat="1">
      <c r="B238" s="703"/>
      <c r="C238" s="220" t="s">
        <v>1874</v>
      </c>
      <c r="D238" s="207"/>
      <c r="E238" s="193"/>
      <c r="F238" s="193"/>
      <c r="G238" s="183"/>
      <c r="H238" s="752"/>
      <c r="I238" s="183"/>
      <c r="J238" s="731"/>
      <c r="K238" s="193"/>
      <c r="L238" s="193"/>
      <c r="M238" s="731"/>
      <c r="N238" s="193"/>
      <c r="O238" s="731"/>
      <c r="P238" s="193"/>
      <c r="Q238" s="193"/>
      <c r="R238" s="183"/>
      <c r="S238" s="183"/>
      <c r="T238" s="183"/>
      <c r="U238" s="183"/>
      <c r="V238" s="742"/>
      <c r="W238" s="183"/>
      <c r="X238" s="742"/>
      <c r="Y238" s="742"/>
      <c r="Z238" s="183"/>
      <c r="AA238" s="183"/>
      <c r="AB238" s="183"/>
      <c r="AC238" s="208"/>
      <c r="AD238" s="208"/>
      <c r="AE238" s="208"/>
      <c r="AF238" s="208"/>
      <c r="AG238" s="208"/>
      <c r="AH238" s="208"/>
      <c r="AI238" s="203"/>
      <c r="AJ238" s="203"/>
      <c r="AK238" s="203"/>
      <c r="AL238" s="203"/>
      <c r="AM238" s="203"/>
      <c r="AN238" s="203"/>
      <c r="AO238" s="205"/>
      <c r="AP238" s="205"/>
      <c r="AQ238" s="205"/>
      <c r="AR238" s="205"/>
      <c r="AS238" s="205"/>
      <c r="AT238" s="209"/>
      <c r="AU238" s="209"/>
      <c r="AV238" s="203"/>
      <c r="AW238" s="251"/>
      <c r="AX238" s="251"/>
      <c r="AY238" s="839"/>
      <c r="AZ238" s="838"/>
      <c r="BA238" s="839"/>
    </row>
    <row r="239" spans="2:53" s="76" customFormat="1" ht="94.5">
      <c r="B239" s="703">
        <f>B236+1</f>
        <v>164</v>
      </c>
      <c r="C239" s="197" t="s">
        <v>1188</v>
      </c>
      <c r="D239" s="198"/>
      <c r="E239" s="703" t="s">
        <v>183</v>
      </c>
      <c r="F239" s="703">
        <v>3</v>
      </c>
      <c r="G239" s="199">
        <v>3770</v>
      </c>
      <c r="H239" s="736"/>
      <c r="I239" s="199"/>
      <c r="J239" s="736"/>
      <c r="K239" s="199"/>
      <c r="L239" s="199"/>
      <c r="M239" s="736"/>
      <c r="N239" s="199"/>
      <c r="O239" s="736"/>
      <c r="P239" s="199"/>
      <c r="Q239" s="199"/>
      <c r="R239" s="199">
        <f>G239+I239+K239+L239+N239+P239+Q239</f>
        <v>3770</v>
      </c>
      <c r="S239" s="199">
        <v>1</v>
      </c>
      <c r="T239" s="199"/>
      <c r="U239" s="199"/>
      <c r="V239" s="737">
        <v>0.1</v>
      </c>
      <c r="W239" s="199">
        <f>R239*V239</f>
        <v>377</v>
      </c>
      <c r="X239" s="718"/>
      <c r="Y239" s="737"/>
      <c r="Z239" s="199"/>
      <c r="AA239" s="199">
        <f>AH239</f>
        <v>3330</v>
      </c>
      <c r="AB239" s="199">
        <f>(R239+Z239+U239+W239)*S239+AA239</f>
        <v>7477</v>
      </c>
      <c r="AC239" s="738">
        <f>AF239</f>
        <v>0</v>
      </c>
      <c r="AD239" s="738">
        <f>AB239+AC239</f>
        <v>7477</v>
      </c>
      <c r="AE239" s="202">
        <f>AB239</f>
        <v>7477</v>
      </c>
      <c r="AF239" s="202">
        <f>AE239-AB239</f>
        <v>0</v>
      </c>
      <c r="AG239" s="738">
        <f>7100*S239</f>
        <v>7100</v>
      </c>
      <c r="AH239" s="202">
        <f>AG239-(R239*S239)</f>
        <v>3330</v>
      </c>
      <c r="AI239" s="203">
        <f>G239*S239</f>
        <v>3770</v>
      </c>
      <c r="AJ239" s="203">
        <f>G239*T239</f>
        <v>0</v>
      </c>
      <c r="AK239" s="203">
        <f>R239*S239</f>
        <v>3770</v>
      </c>
      <c r="AL239" s="203">
        <f>R239*T239</f>
        <v>0</v>
      </c>
      <c r="AM239" s="203">
        <f>AK239-AI239</f>
        <v>0</v>
      </c>
      <c r="AN239" s="203">
        <f>AL239-AJ239</f>
        <v>0</v>
      </c>
      <c r="AO239" s="205">
        <f>Z239*S239</f>
        <v>0</v>
      </c>
      <c r="AP239" s="205">
        <f>Z239*T239</f>
        <v>0</v>
      </c>
      <c r="AQ239" s="205">
        <f>AA239</f>
        <v>3330</v>
      </c>
      <c r="AR239" s="205">
        <f>W239*S239</f>
        <v>377</v>
      </c>
      <c r="AS239" s="205">
        <f>W239*T239</f>
        <v>0</v>
      </c>
      <c r="AT239" s="209">
        <f t="shared" si="288"/>
        <v>3770</v>
      </c>
      <c r="AU239" s="209">
        <f t="shared" si="288"/>
        <v>0</v>
      </c>
      <c r="AV239" s="203"/>
      <c r="AW239" s="251">
        <f>R239*S239</f>
        <v>3770</v>
      </c>
      <c r="AX239" s="251"/>
      <c r="AY239" s="838">
        <f>AW239</f>
        <v>3770</v>
      </c>
      <c r="AZ239" s="838"/>
      <c r="BA239" s="839"/>
    </row>
    <row r="240" spans="2:53" s="76" customFormat="1" ht="94.5">
      <c r="B240" s="703">
        <f t="shared" si="280"/>
        <v>165</v>
      </c>
      <c r="C240" s="197" t="s">
        <v>1188</v>
      </c>
      <c r="D240" s="198"/>
      <c r="E240" s="703" t="s">
        <v>1206</v>
      </c>
      <c r="F240" s="703">
        <v>3</v>
      </c>
      <c r="G240" s="199">
        <v>3770</v>
      </c>
      <c r="H240" s="736"/>
      <c r="I240" s="199"/>
      <c r="J240" s="736"/>
      <c r="K240" s="199"/>
      <c r="L240" s="199"/>
      <c r="M240" s="736"/>
      <c r="N240" s="199"/>
      <c r="O240" s="736"/>
      <c r="P240" s="199"/>
      <c r="Q240" s="199"/>
      <c r="R240" s="199">
        <f>G240+I240+K240+L240+N240+P240+Q240</f>
        <v>3770</v>
      </c>
      <c r="S240" s="199">
        <v>1</v>
      </c>
      <c r="T240" s="199"/>
      <c r="U240" s="199"/>
      <c r="V240" s="737">
        <v>0.1</v>
      </c>
      <c r="W240" s="199">
        <f>R240*V240</f>
        <v>377</v>
      </c>
      <c r="X240" s="718"/>
      <c r="Y240" s="737"/>
      <c r="Z240" s="199"/>
      <c r="AA240" s="199">
        <f>AH240</f>
        <v>3330</v>
      </c>
      <c r="AB240" s="199">
        <f>(R240+Z240+U240+W240)*S240+AA240</f>
        <v>7477</v>
      </c>
      <c r="AC240" s="738">
        <f>AF240</f>
        <v>0</v>
      </c>
      <c r="AD240" s="738">
        <f>AB240+AC240</f>
        <v>7477</v>
      </c>
      <c r="AE240" s="202">
        <f>AB240</f>
        <v>7477</v>
      </c>
      <c r="AF240" s="202">
        <f>AE240-AB240</f>
        <v>0</v>
      </c>
      <c r="AG240" s="738">
        <f>7100*S240</f>
        <v>7100</v>
      </c>
      <c r="AH240" s="202">
        <f>AG240-(R240*S240)</f>
        <v>3330</v>
      </c>
      <c r="AI240" s="203">
        <f>G240*S240</f>
        <v>3770</v>
      </c>
      <c r="AJ240" s="203">
        <f>G240*T240</f>
        <v>0</v>
      </c>
      <c r="AK240" s="203">
        <f>R240*S240</f>
        <v>3770</v>
      </c>
      <c r="AL240" s="203">
        <f>R240*T240</f>
        <v>0</v>
      </c>
      <c r="AM240" s="203">
        <f>AK240-AI240</f>
        <v>0</v>
      </c>
      <c r="AN240" s="203">
        <f>AL240-AJ240</f>
        <v>0</v>
      </c>
      <c r="AO240" s="205">
        <f>Z240*S240</f>
        <v>0</v>
      </c>
      <c r="AP240" s="205">
        <f>Z240*T240</f>
        <v>0</v>
      </c>
      <c r="AQ240" s="205">
        <f>AA240</f>
        <v>3330</v>
      </c>
      <c r="AR240" s="205">
        <f>W240*S240</f>
        <v>377</v>
      </c>
      <c r="AS240" s="205">
        <f>W240*T240</f>
        <v>0</v>
      </c>
      <c r="AT240" s="209">
        <f t="shared" si="288"/>
        <v>3770</v>
      </c>
      <c r="AU240" s="209">
        <f t="shared" si="288"/>
        <v>0</v>
      </c>
      <c r="AV240" s="203"/>
      <c r="AW240" s="251">
        <f>R240*S240</f>
        <v>3770</v>
      </c>
      <c r="AX240" s="251"/>
      <c r="AY240" s="838">
        <f>AW240</f>
        <v>3770</v>
      </c>
      <c r="AZ240" s="838"/>
      <c r="BA240" s="839"/>
    </row>
    <row r="241" spans="2:54" s="76" customFormat="1">
      <c r="B241" s="703"/>
      <c r="C241" s="180" t="s">
        <v>1736</v>
      </c>
      <c r="D241" s="207"/>
      <c r="E241" s="193"/>
      <c r="F241" s="193"/>
      <c r="G241" s="183">
        <f>SUM(G239:G240)</f>
        <v>7540</v>
      </c>
      <c r="H241" s="731"/>
      <c r="I241" s="193"/>
      <c r="J241" s="731"/>
      <c r="K241" s="193"/>
      <c r="L241" s="193"/>
      <c r="M241" s="731"/>
      <c r="N241" s="193"/>
      <c r="O241" s="731"/>
      <c r="P241" s="193"/>
      <c r="Q241" s="193"/>
      <c r="R241" s="183">
        <f>SUM(R239:R240)</f>
        <v>7540</v>
      </c>
      <c r="S241" s="183">
        <f>SUM(S239:S240)</f>
        <v>2</v>
      </c>
      <c r="T241" s="183">
        <f>SUM(T239:T240)</f>
        <v>0</v>
      </c>
      <c r="U241" s="184"/>
      <c r="V241" s="742"/>
      <c r="W241" s="183">
        <f>SUM(W239:W240)</f>
        <v>754</v>
      </c>
      <c r="X241" s="742"/>
      <c r="Y241" s="742"/>
      <c r="Z241" s="183"/>
      <c r="AA241" s="183">
        <f>SUM(AA239:AA240)</f>
        <v>6660</v>
      </c>
      <c r="AB241" s="183">
        <f>SUM(AB239:AB240)</f>
        <v>14954</v>
      </c>
      <c r="AC241" s="183">
        <f t="shared" ref="AC241:AV241" si="315">SUM(AC239:AC240)</f>
        <v>0</v>
      </c>
      <c r="AD241" s="183">
        <f>SUM(AD239:AD240)</f>
        <v>14954</v>
      </c>
      <c r="AE241" s="183">
        <f t="shared" si="315"/>
        <v>14954</v>
      </c>
      <c r="AF241" s="183">
        <f t="shared" si="315"/>
        <v>0</v>
      </c>
      <c r="AG241" s="183">
        <f t="shared" si="315"/>
        <v>14200</v>
      </c>
      <c r="AH241" s="183">
        <f t="shared" si="315"/>
        <v>6660</v>
      </c>
      <c r="AI241" s="183">
        <f t="shared" si="315"/>
        <v>7540</v>
      </c>
      <c r="AJ241" s="183">
        <f t="shared" si="315"/>
        <v>0</v>
      </c>
      <c r="AK241" s="183">
        <f t="shared" si="315"/>
        <v>7540</v>
      </c>
      <c r="AL241" s="183">
        <f t="shared" si="315"/>
        <v>0</v>
      </c>
      <c r="AM241" s="183">
        <f t="shared" si="315"/>
        <v>0</v>
      </c>
      <c r="AN241" s="183">
        <f t="shared" si="315"/>
        <v>0</v>
      </c>
      <c r="AO241" s="183">
        <f t="shared" si="315"/>
        <v>0</v>
      </c>
      <c r="AP241" s="183">
        <f t="shared" si="315"/>
        <v>0</v>
      </c>
      <c r="AQ241" s="183">
        <f t="shared" si="315"/>
        <v>6660</v>
      </c>
      <c r="AR241" s="183">
        <f t="shared" si="315"/>
        <v>754</v>
      </c>
      <c r="AS241" s="183">
        <f t="shared" si="315"/>
        <v>0</v>
      </c>
      <c r="AT241" s="183">
        <f t="shared" si="315"/>
        <v>7540</v>
      </c>
      <c r="AU241" s="183">
        <f t="shared" si="315"/>
        <v>0</v>
      </c>
      <c r="AV241" s="183">
        <f t="shared" si="315"/>
        <v>0</v>
      </c>
      <c r="AW241" s="183">
        <f>SUM(AW239:AW240)</f>
        <v>7540</v>
      </c>
      <c r="AX241" s="251"/>
      <c r="AY241" s="839"/>
      <c r="AZ241" s="838"/>
      <c r="BA241" s="839"/>
    </row>
    <row r="242" spans="2:54" s="76" customFormat="1">
      <c r="B242" s="703"/>
      <c r="C242" s="180" t="s">
        <v>1278</v>
      </c>
      <c r="D242" s="207"/>
      <c r="E242" s="193"/>
      <c r="F242" s="193"/>
      <c r="G242" s="185">
        <f>G229+G237+G241</f>
        <v>47955</v>
      </c>
      <c r="H242" s="753"/>
      <c r="I242" s="185">
        <f>I229+I237+I241</f>
        <v>552.70000000000005</v>
      </c>
      <c r="J242" s="753"/>
      <c r="K242" s="185"/>
      <c r="L242" s="185"/>
      <c r="M242" s="753"/>
      <c r="N242" s="185"/>
      <c r="O242" s="753"/>
      <c r="P242" s="185"/>
      <c r="Q242" s="185"/>
      <c r="R242" s="185">
        <f>R229+R237+R241</f>
        <v>48507.7</v>
      </c>
      <c r="S242" s="183">
        <f>S229+S237+S241</f>
        <v>8</v>
      </c>
      <c r="T242" s="183">
        <f>T229+T237+T241</f>
        <v>0.5</v>
      </c>
      <c r="U242" s="185"/>
      <c r="V242" s="753"/>
      <c r="W242" s="185">
        <f>W229+W237+W241</f>
        <v>754</v>
      </c>
      <c r="X242" s="753"/>
      <c r="Y242" s="753"/>
      <c r="Z242" s="185">
        <f>Z229+Z237+Z241</f>
        <v>10404.34</v>
      </c>
      <c r="AA242" s="185">
        <f>AA229+AA237+AA241</f>
        <v>7127.6</v>
      </c>
      <c r="AB242" s="185">
        <f>AB229+AB237+AB241</f>
        <v>62441.840000000004</v>
      </c>
      <c r="AC242" s="185">
        <f t="shared" ref="AC242:AV242" si="316">AC229+AC237+AC241</f>
        <v>43512.159999999996</v>
      </c>
      <c r="AD242" s="185">
        <f>AD229+AD237+AD241</f>
        <v>105954</v>
      </c>
      <c r="AE242" s="185">
        <f t="shared" si="316"/>
        <v>105954</v>
      </c>
      <c r="AF242" s="185">
        <f t="shared" si="316"/>
        <v>43512.159999999996</v>
      </c>
      <c r="AG242" s="185">
        <f>AG229+AG237+AG241</f>
        <v>60350</v>
      </c>
      <c r="AH242" s="185">
        <f t="shared" si="316"/>
        <v>7393.3600000000006</v>
      </c>
      <c r="AI242" s="185">
        <f t="shared" si="316"/>
        <v>40702</v>
      </c>
      <c r="AJ242" s="185">
        <f t="shared" si="316"/>
        <v>3626.5</v>
      </c>
      <c r="AK242" s="185">
        <f t="shared" si="316"/>
        <v>41254.699999999997</v>
      </c>
      <c r="AL242" s="185">
        <f t="shared" si="316"/>
        <v>3626.5</v>
      </c>
      <c r="AM242" s="185">
        <f t="shared" si="316"/>
        <v>552.69999999999982</v>
      </c>
      <c r="AN242" s="185">
        <f t="shared" si="316"/>
        <v>0</v>
      </c>
      <c r="AO242" s="185">
        <f t="shared" si="316"/>
        <v>8953.74</v>
      </c>
      <c r="AP242" s="185">
        <f t="shared" si="316"/>
        <v>725.30000000000007</v>
      </c>
      <c r="AQ242" s="185">
        <f t="shared" si="316"/>
        <v>7127.6</v>
      </c>
      <c r="AR242" s="185">
        <f t="shared" si="316"/>
        <v>754</v>
      </c>
      <c r="AS242" s="185">
        <f t="shared" si="316"/>
        <v>0</v>
      </c>
      <c r="AT242" s="185">
        <f t="shared" si="316"/>
        <v>41254.699999999997</v>
      </c>
      <c r="AU242" s="185">
        <f t="shared" si="316"/>
        <v>3626.5</v>
      </c>
      <c r="AV242" s="185">
        <f t="shared" si="316"/>
        <v>0</v>
      </c>
      <c r="AW242" s="185">
        <f>AW229+AW237+AW241</f>
        <v>44881.2</v>
      </c>
      <c r="AX242" s="251"/>
      <c r="AY242" s="839"/>
      <c r="AZ242" s="838"/>
      <c r="BA242" s="839"/>
    </row>
    <row r="243" spans="2:54" s="76" customFormat="1" ht="61.5">
      <c r="B243" s="703"/>
      <c r="C243" s="191" t="s">
        <v>1881</v>
      </c>
      <c r="D243" s="192"/>
      <c r="E243" s="193"/>
      <c r="F243" s="193"/>
      <c r="G243" s="193"/>
      <c r="H243" s="731"/>
      <c r="I243" s="193"/>
      <c r="J243" s="731"/>
      <c r="K243" s="193"/>
      <c r="L243" s="193"/>
      <c r="M243" s="731"/>
      <c r="N243" s="193"/>
      <c r="O243" s="731"/>
      <c r="P243" s="193"/>
      <c r="Q243" s="193"/>
      <c r="R243" s="193"/>
      <c r="S243" s="193"/>
      <c r="T243" s="193"/>
      <c r="U243" s="193"/>
      <c r="V243" s="732"/>
      <c r="W243" s="193"/>
      <c r="X243" s="732"/>
      <c r="Y243" s="732"/>
      <c r="Z243" s="193"/>
      <c r="AA243" s="193"/>
      <c r="AB243" s="193"/>
      <c r="AC243" s="195"/>
      <c r="AD243" s="195"/>
      <c r="AE243" s="195"/>
      <c r="AF243" s="195"/>
      <c r="AG243" s="195"/>
      <c r="AH243" s="195"/>
      <c r="AI243" s="203"/>
      <c r="AJ243" s="203"/>
      <c r="AK243" s="203"/>
      <c r="AL243" s="203"/>
      <c r="AM243" s="203"/>
      <c r="AN243" s="203"/>
      <c r="AO243" s="205"/>
      <c r="AP243" s="205"/>
      <c r="AQ243" s="205"/>
      <c r="AR243" s="205"/>
      <c r="AS243" s="205"/>
      <c r="AT243" s="209"/>
      <c r="AU243" s="209"/>
      <c r="AV243" s="203"/>
      <c r="AW243" s="251"/>
      <c r="AX243" s="251"/>
      <c r="AY243" s="839"/>
      <c r="AZ243" s="838"/>
      <c r="BA243" s="839"/>
    </row>
    <row r="244" spans="2:54" s="76" customFormat="1">
      <c r="B244" s="703"/>
      <c r="C244" s="220" t="s">
        <v>1382</v>
      </c>
      <c r="D244" s="217"/>
      <c r="E244" s="218"/>
      <c r="F244" s="218"/>
      <c r="G244" s="218"/>
      <c r="H244" s="745"/>
      <c r="I244" s="218"/>
      <c r="J244" s="745"/>
      <c r="K244" s="218"/>
      <c r="L244" s="218"/>
      <c r="M244" s="745"/>
      <c r="N244" s="218"/>
      <c r="O244" s="745"/>
      <c r="P244" s="218"/>
      <c r="Q244" s="218"/>
      <c r="R244" s="218"/>
      <c r="S244" s="218"/>
      <c r="T244" s="218"/>
      <c r="U244" s="218"/>
      <c r="V244" s="746"/>
      <c r="W244" s="218"/>
      <c r="X244" s="746"/>
      <c r="Y244" s="746"/>
      <c r="Z244" s="218"/>
      <c r="AA244" s="218"/>
      <c r="AB244" s="218"/>
      <c r="AC244" s="219"/>
      <c r="AD244" s="219"/>
      <c r="AE244" s="219"/>
      <c r="AF244" s="219"/>
      <c r="AG244" s="219"/>
      <c r="AH244" s="219"/>
      <c r="AI244" s="203"/>
      <c r="AJ244" s="203"/>
      <c r="AK244" s="203"/>
      <c r="AL244" s="203"/>
      <c r="AM244" s="203"/>
      <c r="AN244" s="203"/>
      <c r="AO244" s="205"/>
      <c r="AP244" s="205"/>
      <c r="AQ244" s="205"/>
      <c r="AR244" s="205"/>
      <c r="AS244" s="205"/>
      <c r="AT244" s="209"/>
      <c r="AU244" s="209"/>
      <c r="AV244" s="203"/>
      <c r="AW244" s="251"/>
      <c r="AX244" s="251"/>
      <c r="AY244" s="839"/>
      <c r="AZ244" s="838"/>
      <c r="BA244" s="839"/>
    </row>
    <row r="245" spans="2:54" s="76" customFormat="1" ht="58.5">
      <c r="B245" s="703">
        <f>B240+1</f>
        <v>166</v>
      </c>
      <c r="C245" s="197" t="s">
        <v>1035</v>
      </c>
      <c r="D245" s="198" t="s">
        <v>1733</v>
      </c>
      <c r="E245" s="703" t="s">
        <v>1734</v>
      </c>
      <c r="F245" s="703">
        <v>14</v>
      </c>
      <c r="G245" s="199">
        <v>7732</v>
      </c>
      <c r="H245" s="737">
        <v>0.25</v>
      </c>
      <c r="I245" s="703">
        <f>G245*H245</f>
        <v>1933</v>
      </c>
      <c r="J245" s="737">
        <v>0.4</v>
      </c>
      <c r="K245" s="204">
        <f>(G245+I245)*J245</f>
        <v>3866</v>
      </c>
      <c r="L245" s="703"/>
      <c r="M245" s="718"/>
      <c r="N245" s="703"/>
      <c r="O245" s="718"/>
      <c r="P245" s="703"/>
      <c r="Q245" s="703"/>
      <c r="R245" s="199">
        <f t="shared" ref="R245:R257" si="317">G245+I245+K245+L245+N245+P245+Q245</f>
        <v>13531</v>
      </c>
      <c r="S245" s="199">
        <v>1</v>
      </c>
      <c r="T245" s="199"/>
      <c r="U245" s="703"/>
      <c r="V245" s="718"/>
      <c r="W245" s="703"/>
      <c r="X245" s="718">
        <v>32</v>
      </c>
      <c r="Y245" s="737">
        <v>0.3</v>
      </c>
      <c r="Z245" s="199">
        <f>R245*Y245</f>
        <v>4059.2999999999997</v>
      </c>
      <c r="AA245" s="199"/>
      <c r="AB245" s="199">
        <f>R245+Z245</f>
        <v>17590.3</v>
      </c>
      <c r="AC245" s="738">
        <f t="shared" ref="AC245:AC255" si="318">AF245</f>
        <v>2409.7000000000007</v>
      </c>
      <c r="AD245" s="738">
        <f t="shared" ref="AD245:AD255" si="319">AB245+AC245</f>
        <v>20000</v>
      </c>
      <c r="AE245" s="202">
        <f t="shared" ref="AE245:AE250" si="320">20000*S245</f>
        <v>20000</v>
      </c>
      <c r="AF245" s="202">
        <f t="shared" ref="AF245:AF255" si="321">AE245-AB245</f>
        <v>2409.7000000000007</v>
      </c>
      <c r="AG245" s="738">
        <f>7100*S245</f>
        <v>7100</v>
      </c>
      <c r="AH245" s="202">
        <f>AB245-AG245</f>
        <v>10490.3</v>
      </c>
      <c r="AI245" s="203">
        <f t="shared" ref="AI245:AI255" si="322">G245*S245</f>
        <v>7732</v>
      </c>
      <c r="AJ245" s="203">
        <f t="shared" ref="AJ245:AJ255" si="323">G245*T245</f>
        <v>0</v>
      </c>
      <c r="AK245" s="203">
        <f t="shared" ref="AK245:AK257" si="324">R245*S245</f>
        <v>13531</v>
      </c>
      <c r="AL245" s="203">
        <f t="shared" ref="AL245:AL257" si="325">R245*T245</f>
        <v>0</v>
      </c>
      <c r="AM245" s="203">
        <f t="shared" ref="AM245:AM257" si="326">AK245-AI245</f>
        <v>5799</v>
      </c>
      <c r="AN245" s="203">
        <f t="shared" ref="AN245:AN257" si="327">AL245-AJ245</f>
        <v>0</v>
      </c>
      <c r="AO245" s="205">
        <f t="shared" ref="AO245:AO257" si="328">Z245*S245</f>
        <v>4059.2999999999997</v>
      </c>
      <c r="AP245" s="205">
        <f t="shared" ref="AP245:AP257" si="329">Z245*T245</f>
        <v>0</v>
      </c>
      <c r="AQ245" s="205">
        <f t="shared" ref="AQ245:AQ257" si="330">AA245</f>
        <v>0</v>
      </c>
      <c r="AR245" s="205">
        <f t="shared" ref="AR245:AR257" si="331">W245*S245</f>
        <v>0</v>
      </c>
      <c r="AS245" s="205">
        <f t="shared" ref="AS245:AS257" si="332">W245*T245</f>
        <v>0</v>
      </c>
      <c r="AT245" s="209">
        <f t="shared" si="288"/>
        <v>13531</v>
      </c>
      <c r="AU245" s="209">
        <f t="shared" si="288"/>
        <v>0</v>
      </c>
      <c r="AV245" s="203"/>
      <c r="AW245" s="251">
        <f>R245*S245</f>
        <v>13531</v>
      </c>
      <c r="AX245" s="251"/>
      <c r="AY245" s="838">
        <f t="shared" ref="AY245:AY257" si="333">AW245</f>
        <v>13531</v>
      </c>
      <c r="AZ245" s="838"/>
      <c r="BA245" s="839"/>
    </row>
    <row r="246" spans="2:54" s="76" customFormat="1">
      <c r="B246" s="703">
        <f t="shared" si="280"/>
        <v>167</v>
      </c>
      <c r="C246" s="197" t="s">
        <v>1036</v>
      </c>
      <c r="D246" s="198" t="s">
        <v>184</v>
      </c>
      <c r="E246" s="703" t="s">
        <v>1679</v>
      </c>
      <c r="F246" s="703">
        <v>13</v>
      </c>
      <c r="G246" s="199">
        <v>7253</v>
      </c>
      <c r="H246" s="718"/>
      <c r="I246" s="703"/>
      <c r="J246" s="737">
        <v>0.25</v>
      </c>
      <c r="K246" s="204">
        <f t="shared" ref="K246:K254" si="334">(G246+I246)*J246</f>
        <v>1813.25</v>
      </c>
      <c r="L246" s="703"/>
      <c r="M246" s="718"/>
      <c r="N246" s="703"/>
      <c r="O246" s="718"/>
      <c r="P246" s="703"/>
      <c r="Q246" s="703"/>
      <c r="R246" s="199">
        <f t="shared" si="317"/>
        <v>9066.25</v>
      </c>
      <c r="S246" s="199"/>
      <c r="T246" s="199">
        <v>0.5</v>
      </c>
      <c r="U246" s="703"/>
      <c r="V246" s="718"/>
      <c r="W246" s="703"/>
      <c r="X246" s="718">
        <v>35</v>
      </c>
      <c r="Y246" s="737">
        <v>0.3</v>
      </c>
      <c r="Z246" s="199">
        <f>R246*Y246</f>
        <v>2719.875</v>
      </c>
      <c r="AA246" s="199"/>
      <c r="AB246" s="199">
        <f>(R246+Z246)*T246</f>
        <v>5893.0625</v>
      </c>
      <c r="AC246" s="738">
        <f>AF246</f>
        <v>4106.9375</v>
      </c>
      <c r="AD246" s="738">
        <f>AB246+AC246</f>
        <v>10000</v>
      </c>
      <c r="AE246" s="202">
        <f>20000*T246</f>
        <v>10000</v>
      </c>
      <c r="AF246" s="202">
        <f>AE246-AB246</f>
        <v>4106.9375</v>
      </c>
      <c r="AG246" s="738">
        <f>7100*T246</f>
        <v>3550</v>
      </c>
      <c r="AH246" s="202">
        <f>AB246-AG246</f>
        <v>2343.0625</v>
      </c>
      <c r="AI246" s="203">
        <f>G246*S246</f>
        <v>0</v>
      </c>
      <c r="AJ246" s="203">
        <f>G246*T246</f>
        <v>3626.5</v>
      </c>
      <c r="AK246" s="203">
        <f t="shared" si="324"/>
        <v>0</v>
      </c>
      <c r="AL246" s="203">
        <f t="shared" si="325"/>
        <v>4533.125</v>
      </c>
      <c r="AM246" s="203">
        <f t="shared" si="326"/>
        <v>0</v>
      </c>
      <c r="AN246" s="203">
        <f t="shared" si="327"/>
        <v>906.625</v>
      </c>
      <c r="AO246" s="205">
        <f t="shared" si="328"/>
        <v>0</v>
      </c>
      <c r="AP246" s="205">
        <f t="shared" si="329"/>
        <v>1359.9375</v>
      </c>
      <c r="AQ246" s="205">
        <f t="shared" si="330"/>
        <v>0</v>
      </c>
      <c r="AR246" s="205">
        <f t="shared" si="331"/>
        <v>0</v>
      </c>
      <c r="AS246" s="205">
        <f t="shared" si="332"/>
        <v>0</v>
      </c>
      <c r="AT246" s="209">
        <f t="shared" si="288"/>
        <v>0</v>
      </c>
      <c r="AU246" s="209">
        <f t="shared" si="288"/>
        <v>4533.125</v>
      </c>
      <c r="AV246" s="203"/>
      <c r="AW246" s="251">
        <f>R246*T246</f>
        <v>4533.125</v>
      </c>
      <c r="AX246" s="251"/>
      <c r="AY246" s="838">
        <f t="shared" si="333"/>
        <v>4533.125</v>
      </c>
      <c r="AZ246" s="838"/>
      <c r="BA246" s="839"/>
    </row>
    <row r="247" spans="2:54" s="78" customFormat="1" ht="58.5">
      <c r="B247" s="703">
        <f t="shared" si="280"/>
        <v>168</v>
      </c>
      <c r="C247" s="197" t="s">
        <v>1036</v>
      </c>
      <c r="D247" s="198" t="s">
        <v>1775</v>
      </c>
      <c r="E247" s="703" t="s">
        <v>1037</v>
      </c>
      <c r="F247" s="703">
        <v>13</v>
      </c>
      <c r="G247" s="199">
        <v>7253</v>
      </c>
      <c r="H247" s="718"/>
      <c r="I247" s="703"/>
      <c r="J247" s="737">
        <v>0.25</v>
      </c>
      <c r="K247" s="204">
        <f t="shared" si="334"/>
        <v>1813.25</v>
      </c>
      <c r="L247" s="703"/>
      <c r="M247" s="718"/>
      <c r="N247" s="703"/>
      <c r="O247" s="718"/>
      <c r="P247" s="199"/>
      <c r="Q247" s="199"/>
      <c r="R247" s="199">
        <f t="shared" si="317"/>
        <v>9066.25</v>
      </c>
      <c r="S247" s="199">
        <v>1</v>
      </c>
      <c r="T247" s="199"/>
      <c r="U247" s="199"/>
      <c r="V247" s="736"/>
      <c r="W247" s="199"/>
      <c r="X247" s="718">
        <v>27</v>
      </c>
      <c r="Y247" s="737">
        <v>0.3</v>
      </c>
      <c r="Z247" s="199">
        <f t="shared" ref="Z247:Z257" si="335">R247*Y247</f>
        <v>2719.875</v>
      </c>
      <c r="AA247" s="199"/>
      <c r="AB247" s="199">
        <f>(R247+Z247)*S247</f>
        <v>11786.125</v>
      </c>
      <c r="AC247" s="738">
        <f t="shared" si="318"/>
        <v>8213.875</v>
      </c>
      <c r="AD247" s="738">
        <f t="shared" si="319"/>
        <v>20000</v>
      </c>
      <c r="AE247" s="202">
        <f t="shared" si="320"/>
        <v>20000</v>
      </c>
      <c r="AF247" s="202">
        <f t="shared" si="321"/>
        <v>8213.875</v>
      </c>
      <c r="AG247" s="738">
        <f>7100*S247</f>
        <v>7100</v>
      </c>
      <c r="AH247" s="202">
        <f t="shared" ref="AH247:AH257" si="336">AB247-AG247</f>
        <v>4686.125</v>
      </c>
      <c r="AI247" s="203">
        <f t="shared" si="322"/>
        <v>7253</v>
      </c>
      <c r="AJ247" s="203">
        <f t="shared" si="323"/>
        <v>0</v>
      </c>
      <c r="AK247" s="203">
        <f t="shared" si="324"/>
        <v>9066.25</v>
      </c>
      <c r="AL247" s="203">
        <f t="shared" si="325"/>
        <v>0</v>
      </c>
      <c r="AM247" s="203">
        <f t="shared" si="326"/>
        <v>1813.25</v>
      </c>
      <c r="AN247" s="203">
        <f t="shared" si="327"/>
        <v>0</v>
      </c>
      <c r="AO247" s="205">
        <f t="shared" si="328"/>
        <v>2719.875</v>
      </c>
      <c r="AP247" s="205">
        <f t="shared" si="329"/>
        <v>0</v>
      </c>
      <c r="AQ247" s="205">
        <f t="shared" si="330"/>
        <v>0</v>
      </c>
      <c r="AR247" s="205">
        <f t="shared" si="331"/>
        <v>0</v>
      </c>
      <c r="AS247" s="205">
        <f t="shared" si="332"/>
        <v>0</v>
      </c>
      <c r="AT247" s="209">
        <f t="shared" si="288"/>
        <v>9066.25</v>
      </c>
      <c r="AU247" s="209">
        <f t="shared" si="288"/>
        <v>0</v>
      </c>
      <c r="AV247" s="203"/>
      <c r="AW247" s="251">
        <f t="shared" ref="AW247:AW252" si="337">R247*S247</f>
        <v>9066.25</v>
      </c>
      <c r="AX247" s="251"/>
      <c r="AY247" s="838">
        <f t="shared" si="333"/>
        <v>9066.25</v>
      </c>
      <c r="AZ247" s="838"/>
      <c r="BA247" s="839"/>
      <c r="BB247" s="76"/>
    </row>
    <row r="248" spans="2:54" s="78" customFormat="1" ht="58.5">
      <c r="B248" s="703">
        <f t="shared" si="280"/>
        <v>169</v>
      </c>
      <c r="C248" s="197" t="s">
        <v>1036</v>
      </c>
      <c r="D248" s="198" t="s">
        <v>185</v>
      </c>
      <c r="E248" s="703" t="s">
        <v>1060</v>
      </c>
      <c r="F248" s="703">
        <v>11</v>
      </c>
      <c r="G248" s="199">
        <v>6294</v>
      </c>
      <c r="H248" s="718"/>
      <c r="I248" s="703"/>
      <c r="J248" s="737">
        <v>0.25</v>
      </c>
      <c r="K248" s="204">
        <f>(G248+I248)*J248</f>
        <v>1573.5</v>
      </c>
      <c r="L248" s="703"/>
      <c r="M248" s="718"/>
      <c r="N248" s="703"/>
      <c r="O248" s="718"/>
      <c r="P248" s="199"/>
      <c r="Q248" s="199"/>
      <c r="R248" s="199">
        <f t="shared" si="317"/>
        <v>7867.5</v>
      </c>
      <c r="S248" s="199">
        <v>1</v>
      </c>
      <c r="T248" s="199"/>
      <c r="U248" s="199"/>
      <c r="V248" s="736"/>
      <c r="W248" s="199"/>
      <c r="X248" s="718">
        <v>5</v>
      </c>
      <c r="Y248" s="737">
        <v>0.1</v>
      </c>
      <c r="Z248" s="199">
        <f>R248*Y248</f>
        <v>786.75</v>
      </c>
      <c r="AA248" s="199"/>
      <c r="AB248" s="199">
        <f>(R248+Z248)*S248</f>
        <v>8654.25</v>
      </c>
      <c r="AC248" s="738">
        <f t="shared" si="318"/>
        <v>11345.75</v>
      </c>
      <c r="AD248" s="738">
        <f t="shared" si="319"/>
        <v>20000</v>
      </c>
      <c r="AE248" s="202">
        <f t="shared" si="320"/>
        <v>20000</v>
      </c>
      <c r="AF248" s="202">
        <f t="shared" si="321"/>
        <v>11345.75</v>
      </c>
      <c r="AG248" s="738">
        <f>7100*S248</f>
        <v>7100</v>
      </c>
      <c r="AH248" s="202">
        <f t="shared" si="336"/>
        <v>1554.25</v>
      </c>
      <c r="AI248" s="203">
        <f t="shared" si="322"/>
        <v>6294</v>
      </c>
      <c r="AJ248" s="203">
        <f t="shared" si="323"/>
        <v>0</v>
      </c>
      <c r="AK248" s="203">
        <f t="shared" si="324"/>
        <v>7867.5</v>
      </c>
      <c r="AL248" s="203">
        <f t="shared" si="325"/>
        <v>0</v>
      </c>
      <c r="AM248" s="203">
        <f t="shared" si="326"/>
        <v>1573.5</v>
      </c>
      <c r="AN248" s="203">
        <f t="shared" si="327"/>
        <v>0</v>
      </c>
      <c r="AO248" s="205">
        <f t="shared" si="328"/>
        <v>786.75</v>
      </c>
      <c r="AP248" s="205">
        <f t="shared" si="329"/>
        <v>0</v>
      </c>
      <c r="AQ248" s="205">
        <f t="shared" si="330"/>
        <v>0</v>
      </c>
      <c r="AR248" s="205">
        <f t="shared" si="331"/>
        <v>0</v>
      </c>
      <c r="AS248" s="205">
        <f t="shared" si="332"/>
        <v>0</v>
      </c>
      <c r="AT248" s="209">
        <f t="shared" si="288"/>
        <v>7867.5</v>
      </c>
      <c r="AU248" s="209">
        <f t="shared" si="288"/>
        <v>0</v>
      </c>
      <c r="AV248" s="203"/>
      <c r="AW248" s="251">
        <f t="shared" si="337"/>
        <v>7867.5</v>
      </c>
      <c r="AX248" s="251"/>
      <c r="AY248" s="838">
        <f t="shared" si="333"/>
        <v>7867.5</v>
      </c>
      <c r="AZ248" s="838"/>
      <c r="BA248" s="839"/>
    </row>
    <row r="249" spans="2:54" s="76" customFormat="1" ht="58.5">
      <c r="B249" s="703">
        <f t="shared" si="280"/>
        <v>170</v>
      </c>
      <c r="C249" s="197" t="s">
        <v>1036</v>
      </c>
      <c r="D249" s="198" t="s">
        <v>1038</v>
      </c>
      <c r="E249" s="703" t="s">
        <v>1039</v>
      </c>
      <c r="F249" s="703">
        <v>13</v>
      </c>
      <c r="G249" s="199">
        <v>7253</v>
      </c>
      <c r="H249" s="718"/>
      <c r="I249" s="703"/>
      <c r="J249" s="737">
        <v>0.25</v>
      </c>
      <c r="K249" s="204">
        <f t="shared" si="334"/>
        <v>1813.25</v>
      </c>
      <c r="L249" s="703"/>
      <c r="M249" s="718"/>
      <c r="N249" s="703"/>
      <c r="O249" s="718"/>
      <c r="P249" s="199"/>
      <c r="Q249" s="199"/>
      <c r="R249" s="199">
        <f t="shared" si="317"/>
        <v>9066.25</v>
      </c>
      <c r="S249" s="199">
        <v>1</v>
      </c>
      <c r="T249" s="199"/>
      <c r="U249" s="199"/>
      <c r="V249" s="736"/>
      <c r="W249" s="199"/>
      <c r="X249" s="718">
        <v>15</v>
      </c>
      <c r="Y249" s="737">
        <v>0.2</v>
      </c>
      <c r="Z249" s="199">
        <f t="shared" si="335"/>
        <v>1813.25</v>
      </c>
      <c r="AA249" s="199"/>
      <c r="AB249" s="199">
        <f>(R249+Z249)*S249</f>
        <v>10879.5</v>
      </c>
      <c r="AC249" s="738">
        <f t="shared" si="318"/>
        <v>9120.5</v>
      </c>
      <c r="AD249" s="738">
        <f t="shared" si="319"/>
        <v>20000</v>
      </c>
      <c r="AE249" s="202">
        <f t="shared" si="320"/>
        <v>20000</v>
      </c>
      <c r="AF249" s="202">
        <f t="shared" si="321"/>
        <v>9120.5</v>
      </c>
      <c r="AG249" s="738">
        <f>7100*S249</f>
        <v>7100</v>
      </c>
      <c r="AH249" s="202">
        <f t="shared" si="336"/>
        <v>3779.5</v>
      </c>
      <c r="AI249" s="203">
        <f t="shared" si="322"/>
        <v>7253</v>
      </c>
      <c r="AJ249" s="203">
        <f t="shared" si="323"/>
        <v>0</v>
      </c>
      <c r="AK249" s="203">
        <f t="shared" si="324"/>
        <v>9066.25</v>
      </c>
      <c r="AL249" s="203">
        <f t="shared" si="325"/>
        <v>0</v>
      </c>
      <c r="AM249" s="203">
        <f t="shared" si="326"/>
        <v>1813.25</v>
      </c>
      <c r="AN249" s="203">
        <f t="shared" si="327"/>
        <v>0</v>
      </c>
      <c r="AO249" s="205">
        <f t="shared" si="328"/>
        <v>1813.25</v>
      </c>
      <c r="AP249" s="205">
        <f t="shared" si="329"/>
        <v>0</v>
      </c>
      <c r="AQ249" s="205">
        <f t="shared" si="330"/>
        <v>0</v>
      </c>
      <c r="AR249" s="205">
        <f t="shared" si="331"/>
        <v>0</v>
      </c>
      <c r="AS249" s="205">
        <f t="shared" si="332"/>
        <v>0</v>
      </c>
      <c r="AT249" s="209">
        <f t="shared" si="288"/>
        <v>9066.25</v>
      </c>
      <c r="AU249" s="209">
        <f t="shared" si="288"/>
        <v>0</v>
      </c>
      <c r="AV249" s="203"/>
      <c r="AW249" s="251">
        <f t="shared" si="337"/>
        <v>9066.25</v>
      </c>
      <c r="AX249" s="251"/>
      <c r="AY249" s="838">
        <f t="shared" si="333"/>
        <v>9066.25</v>
      </c>
      <c r="AZ249" s="838"/>
      <c r="BA249" s="839"/>
    </row>
    <row r="250" spans="2:54" s="76" customFormat="1">
      <c r="B250" s="703">
        <f t="shared" si="280"/>
        <v>171</v>
      </c>
      <c r="C250" s="197" t="s">
        <v>1036</v>
      </c>
      <c r="D250" s="198"/>
      <c r="E250" s="703" t="s">
        <v>1741</v>
      </c>
      <c r="F250" s="703">
        <v>13</v>
      </c>
      <c r="G250" s="199">
        <v>7253</v>
      </c>
      <c r="H250" s="718"/>
      <c r="I250" s="703"/>
      <c r="J250" s="737">
        <v>0.25</v>
      </c>
      <c r="K250" s="204">
        <f>(G250+I250)*J250</f>
        <v>1813.25</v>
      </c>
      <c r="L250" s="703"/>
      <c r="M250" s="718"/>
      <c r="N250" s="703"/>
      <c r="O250" s="718"/>
      <c r="P250" s="199"/>
      <c r="Q250" s="199"/>
      <c r="R250" s="199">
        <f t="shared" si="317"/>
        <v>9066.25</v>
      </c>
      <c r="S250" s="199">
        <v>0.5</v>
      </c>
      <c r="T250" s="199"/>
      <c r="U250" s="199"/>
      <c r="V250" s="736"/>
      <c r="W250" s="199"/>
      <c r="X250" s="718"/>
      <c r="Y250" s="737">
        <v>0</v>
      </c>
      <c r="Z250" s="199">
        <f t="shared" si="335"/>
        <v>0</v>
      </c>
      <c r="AA250" s="199"/>
      <c r="AB250" s="199">
        <f>(R250+Z250)*S250</f>
        <v>4533.125</v>
      </c>
      <c r="AC250" s="738">
        <f>AF250</f>
        <v>5466.875</v>
      </c>
      <c r="AD250" s="738">
        <f>AB250+AC250</f>
        <v>10000</v>
      </c>
      <c r="AE250" s="202">
        <f t="shared" si="320"/>
        <v>10000</v>
      </c>
      <c r="AF250" s="202">
        <f>AE250-AB250</f>
        <v>5466.875</v>
      </c>
      <c r="AG250" s="738">
        <f>7100*S250</f>
        <v>3550</v>
      </c>
      <c r="AH250" s="202">
        <f t="shared" si="336"/>
        <v>983.125</v>
      </c>
      <c r="AI250" s="203">
        <f>G250*S250</f>
        <v>3626.5</v>
      </c>
      <c r="AJ250" s="203">
        <f>G250*T250</f>
        <v>0</v>
      </c>
      <c r="AK250" s="203">
        <f t="shared" si="324"/>
        <v>4533.125</v>
      </c>
      <c r="AL250" s="203">
        <f t="shared" si="325"/>
        <v>0</v>
      </c>
      <c r="AM250" s="203">
        <f t="shared" si="326"/>
        <v>906.625</v>
      </c>
      <c r="AN250" s="203">
        <f t="shared" si="327"/>
        <v>0</v>
      </c>
      <c r="AO250" s="205">
        <f t="shared" si="328"/>
        <v>0</v>
      </c>
      <c r="AP250" s="205">
        <f t="shared" si="329"/>
        <v>0</v>
      </c>
      <c r="AQ250" s="205">
        <f t="shared" si="330"/>
        <v>0</v>
      </c>
      <c r="AR250" s="205">
        <f t="shared" si="331"/>
        <v>0</v>
      </c>
      <c r="AS250" s="205">
        <f t="shared" si="332"/>
        <v>0</v>
      </c>
      <c r="AT250" s="209">
        <f t="shared" si="288"/>
        <v>4533.125</v>
      </c>
      <c r="AU250" s="209">
        <f t="shared" si="288"/>
        <v>0</v>
      </c>
      <c r="AV250" s="203"/>
      <c r="AW250" s="251">
        <f t="shared" si="337"/>
        <v>4533.125</v>
      </c>
      <c r="AX250" s="251"/>
      <c r="AY250" s="838">
        <f t="shared" si="333"/>
        <v>4533.125</v>
      </c>
      <c r="AZ250" s="838"/>
      <c r="BA250" s="839"/>
    </row>
    <row r="251" spans="2:54" s="76" customFormat="1">
      <c r="B251" s="703">
        <f t="shared" si="280"/>
        <v>172</v>
      </c>
      <c r="C251" s="197" t="s">
        <v>1036</v>
      </c>
      <c r="D251" s="198" t="s">
        <v>167</v>
      </c>
      <c r="E251" s="703" t="s">
        <v>186</v>
      </c>
      <c r="F251" s="703">
        <v>11</v>
      </c>
      <c r="G251" s="199">
        <v>6294</v>
      </c>
      <c r="H251" s="718"/>
      <c r="I251" s="703"/>
      <c r="J251" s="737">
        <v>0.25</v>
      </c>
      <c r="K251" s="204">
        <f>(G251+I251)*J251</f>
        <v>1573.5</v>
      </c>
      <c r="L251" s="703"/>
      <c r="M251" s="718"/>
      <c r="N251" s="703"/>
      <c r="O251" s="718"/>
      <c r="P251" s="703"/>
      <c r="Q251" s="703"/>
      <c r="R251" s="199">
        <f t="shared" si="317"/>
        <v>7867.5</v>
      </c>
      <c r="S251" s="199">
        <v>1</v>
      </c>
      <c r="T251" s="199"/>
      <c r="U251" s="703"/>
      <c r="V251" s="718"/>
      <c r="W251" s="703"/>
      <c r="X251" s="718"/>
      <c r="Y251" s="737">
        <v>0</v>
      </c>
      <c r="Z251" s="199">
        <f t="shared" si="335"/>
        <v>0</v>
      </c>
      <c r="AA251" s="199"/>
      <c r="AB251" s="199">
        <f>(R251+Z251)*S251</f>
        <v>7867.5</v>
      </c>
      <c r="AC251" s="738">
        <f>AF251</f>
        <v>12132.5</v>
      </c>
      <c r="AD251" s="738">
        <f>AB251+AC251</f>
        <v>20000</v>
      </c>
      <c r="AE251" s="202">
        <f>20000*S251</f>
        <v>20000</v>
      </c>
      <c r="AF251" s="202">
        <f>AE251-AB251</f>
        <v>12132.5</v>
      </c>
      <c r="AG251" s="738">
        <f>7100*S251</f>
        <v>7100</v>
      </c>
      <c r="AH251" s="202">
        <f t="shared" si="336"/>
        <v>767.5</v>
      </c>
      <c r="AI251" s="203">
        <f t="shared" si="322"/>
        <v>6294</v>
      </c>
      <c r="AJ251" s="203">
        <f t="shared" si="323"/>
        <v>0</v>
      </c>
      <c r="AK251" s="203">
        <f t="shared" si="324"/>
        <v>7867.5</v>
      </c>
      <c r="AL251" s="203">
        <f t="shared" si="325"/>
        <v>0</v>
      </c>
      <c r="AM251" s="203">
        <f t="shared" si="326"/>
        <v>1573.5</v>
      </c>
      <c r="AN251" s="203">
        <f t="shared" si="327"/>
        <v>0</v>
      </c>
      <c r="AO251" s="205">
        <f t="shared" si="328"/>
        <v>0</v>
      </c>
      <c r="AP251" s="205">
        <f t="shared" si="329"/>
        <v>0</v>
      </c>
      <c r="AQ251" s="205">
        <f t="shared" si="330"/>
        <v>0</v>
      </c>
      <c r="AR251" s="205">
        <f t="shared" si="331"/>
        <v>0</v>
      </c>
      <c r="AS251" s="205">
        <f t="shared" si="332"/>
        <v>0</v>
      </c>
      <c r="AT251" s="209">
        <f t="shared" si="288"/>
        <v>7867.5</v>
      </c>
      <c r="AU251" s="209">
        <f t="shared" si="288"/>
        <v>0</v>
      </c>
      <c r="AV251" s="203"/>
      <c r="AW251" s="251">
        <f t="shared" si="337"/>
        <v>7867.5</v>
      </c>
      <c r="AX251" s="251"/>
      <c r="AY251" s="838">
        <f t="shared" si="333"/>
        <v>7867.5</v>
      </c>
      <c r="AZ251" s="838"/>
      <c r="BA251" s="839"/>
    </row>
    <row r="252" spans="2:54" s="76" customFormat="1" hidden="1">
      <c r="B252" s="703"/>
      <c r="C252" s="197"/>
      <c r="D252" s="198"/>
      <c r="E252" s="703"/>
      <c r="F252" s="703"/>
      <c r="G252" s="199"/>
      <c r="H252" s="718"/>
      <c r="I252" s="703"/>
      <c r="J252" s="737">
        <v>0.25</v>
      </c>
      <c r="K252" s="204">
        <f>(G252+I252)*J252</f>
        <v>0</v>
      </c>
      <c r="L252" s="703"/>
      <c r="M252" s="718"/>
      <c r="N252" s="703"/>
      <c r="O252" s="718"/>
      <c r="P252" s="199"/>
      <c r="Q252" s="199"/>
      <c r="R252" s="199">
        <f t="shared" si="317"/>
        <v>0</v>
      </c>
      <c r="S252" s="199"/>
      <c r="T252" s="199"/>
      <c r="U252" s="199"/>
      <c r="V252" s="736"/>
      <c r="W252" s="199"/>
      <c r="X252" s="718"/>
      <c r="Y252" s="737">
        <v>0.3</v>
      </c>
      <c r="Z252" s="199">
        <f t="shared" si="335"/>
        <v>0</v>
      </c>
      <c r="AA252" s="199"/>
      <c r="AB252" s="199">
        <f>(R252+Z252)*T252</f>
        <v>0</v>
      </c>
      <c r="AC252" s="738">
        <f>AF252</f>
        <v>0</v>
      </c>
      <c r="AD252" s="738">
        <f>AB252+AC252</f>
        <v>0</v>
      </c>
      <c r="AE252" s="202">
        <f>20000*T252</f>
        <v>0</v>
      </c>
      <c r="AF252" s="202">
        <f>AE252-AB252</f>
        <v>0</v>
      </c>
      <c r="AG252" s="738">
        <f>7100*T252</f>
        <v>0</v>
      </c>
      <c r="AH252" s="202">
        <f t="shared" si="336"/>
        <v>0</v>
      </c>
      <c r="AI252" s="203">
        <f>G252*S252</f>
        <v>0</v>
      </c>
      <c r="AJ252" s="203">
        <f>G252*T252</f>
        <v>0</v>
      </c>
      <c r="AK252" s="203">
        <f t="shared" si="324"/>
        <v>0</v>
      </c>
      <c r="AL252" s="203">
        <f t="shared" si="325"/>
        <v>0</v>
      </c>
      <c r="AM252" s="203">
        <f t="shared" si="326"/>
        <v>0</v>
      </c>
      <c r="AN252" s="203">
        <f t="shared" si="327"/>
        <v>0</v>
      </c>
      <c r="AO252" s="205">
        <f t="shared" si="328"/>
        <v>0</v>
      </c>
      <c r="AP252" s="205">
        <f t="shared" si="329"/>
        <v>0</v>
      </c>
      <c r="AQ252" s="205">
        <f t="shared" si="330"/>
        <v>0</v>
      </c>
      <c r="AR252" s="205">
        <f t="shared" si="331"/>
        <v>0</v>
      </c>
      <c r="AS252" s="205">
        <f t="shared" si="332"/>
        <v>0</v>
      </c>
      <c r="AT252" s="209">
        <f t="shared" si="288"/>
        <v>0</v>
      </c>
      <c r="AU252" s="209">
        <f t="shared" si="288"/>
        <v>0</v>
      </c>
      <c r="AV252" s="203"/>
      <c r="AW252" s="251">
        <f t="shared" si="337"/>
        <v>0</v>
      </c>
      <c r="AX252" s="251"/>
      <c r="AY252" s="838">
        <f t="shared" si="333"/>
        <v>0</v>
      </c>
      <c r="AZ252" s="838"/>
      <c r="BA252" s="839"/>
    </row>
    <row r="253" spans="2:54" s="78" customFormat="1" ht="58.5">
      <c r="B253" s="703">
        <f>1+B251</f>
        <v>173</v>
      </c>
      <c r="C253" s="197" t="s">
        <v>1036</v>
      </c>
      <c r="D253" s="198" t="s">
        <v>1775</v>
      </c>
      <c r="E253" s="703" t="s">
        <v>1037</v>
      </c>
      <c r="F253" s="703">
        <v>13</v>
      </c>
      <c r="G253" s="199">
        <v>7253</v>
      </c>
      <c r="H253" s="718"/>
      <c r="I253" s="703"/>
      <c r="J253" s="737">
        <v>0.25</v>
      </c>
      <c r="K253" s="204">
        <f>(G253+I253)*J253</f>
        <v>1813.25</v>
      </c>
      <c r="L253" s="703"/>
      <c r="M253" s="718"/>
      <c r="N253" s="703"/>
      <c r="O253" s="718"/>
      <c r="P253" s="199"/>
      <c r="Q253" s="199"/>
      <c r="R253" s="199">
        <f t="shared" si="317"/>
        <v>9066.25</v>
      </c>
      <c r="S253" s="199"/>
      <c r="T253" s="199">
        <v>0.25</v>
      </c>
      <c r="U253" s="199"/>
      <c r="V253" s="736"/>
      <c r="W253" s="199"/>
      <c r="X253" s="718">
        <v>27</v>
      </c>
      <c r="Y253" s="737">
        <v>0.3</v>
      </c>
      <c r="Z253" s="199">
        <f t="shared" si="335"/>
        <v>2719.875</v>
      </c>
      <c r="AA253" s="199"/>
      <c r="AB253" s="199">
        <f>(R253+Z253)*T253</f>
        <v>2946.53125</v>
      </c>
      <c r="AC253" s="738">
        <f>AF253</f>
        <v>2053.46875</v>
      </c>
      <c r="AD253" s="738">
        <f>AB253+AC253</f>
        <v>5000</v>
      </c>
      <c r="AE253" s="202">
        <f>20000*T253</f>
        <v>5000</v>
      </c>
      <c r="AF253" s="202">
        <f>AE253-AB253</f>
        <v>2053.46875</v>
      </c>
      <c r="AG253" s="738">
        <f>7100*T253</f>
        <v>1775</v>
      </c>
      <c r="AH253" s="202">
        <f t="shared" si="336"/>
        <v>1171.53125</v>
      </c>
      <c r="AI253" s="203">
        <f>G253*S253</f>
        <v>0</v>
      </c>
      <c r="AJ253" s="203">
        <f>G253*T253</f>
        <v>1813.25</v>
      </c>
      <c r="AK253" s="203">
        <f t="shared" si="324"/>
        <v>0</v>
      </c>
      <c r="AL253" s="203">
        <f t="shared" si="325"/>
        <v>2266.5625</v>
      </c>
      <c r="AM253" s="203">
        <f t="shared" si="326"/>
        <v>0</v>
      </c>
      <c r="AN253" s="203">
        <f t="shared" si="327"/>
        <v>453.3125</v>
      </c>
      <c r="AO253" s="205">
        <f t="shared" si="328"/>
        <v>0</v>
      </c>
      <c r="AP253" s="205">
        <f t="shared" si="329"/>
        <v>679.96875</v>
      </c>
      <c r="AQ253" s="205">
        <f t="shared" si="330"/>
        <v>0</v>
      </c>
      <c r="AR253" s="205">
        <f t="shared" si="331"/>
        <v>0</v>
      </c>
      <c r="AS253" s="205">
        <f t="shared" si="332"/>
        <v>0</v>
      </c>
      <c r="AT253" s="209">
        <f t="shared" si="288"/>
        <v>0</v>
      </c>
      <c r="AU253" s="209">
        <f t="shared" si="288"/>
        <v>2266.5625</v>
      </c>
      <c r="AV253" s="203"/>
      <c r="AW253" s="251">
        <f>R253*T253</f>
        <v>2266.5625</v>
      </c>
      <c r="AX253" s="251"/>
      <c r="AY253" s="838">
        <f t="shared" si="333"/>
        <v>2266.5625</v>
      </c>
      <c r="AZ253" s="838"/>
      <c r="BA253" s="839"/>
    </row>
    <row r="254" spans="2:54" s="76" customFormat="1" ht="58.5">
      <c r="B254" s="703">
        <f>B253+1</f>
        <v>174</v>
      </c>
      <c r="C254" s="197" t="s">
        <v>1036</v>
      </c>
      <c r="D254" s="198" t="s">
        <v>187</v>
      </c>
      <c r="E254" s="703" t="s">
        <v>1018</v>
      </c>
      <c r="F254" s="703">
        <v>12</v>
      </c>
      <c r="G254" s="199">
        <v>6773</v>
      </c>
      <c r="H254" s="718"/>
      <c r="I254" s="703"/>
      <c r="J254" s="737">
        <v>0.25</v>
      </c>
      <c r="K254" s="204">
        <f t="shared" si="334"/>
        <v>1693.25</v>
      </c>
      <c r="L254" s="703"/>
      <c r="M254" s="718"/>
      <c r="N254" s="703"/>
      <c r="O254" s="718"/>
      <c r="P254" s="199"/>
      <c r="Q254" s="199"/>
      <c r="R254" s="199">
        <f t="shared" si="317"/>
        <v>8466.25</v>
      </c>
      <c r="S254" s="199"/>
      <c r="T254" s="199">
        <v>0.25</v>
      </c>
      <c r="U254" s="199"/>
      <c r="V254" s="736"/>
      <c r="W254" s="199"/>
      <c r="X254" s="718">
        <v>10</v>
      </c>
      <c r="Y254" s="737">
        <v>0.2</v>
      </c>
      <c r="Z254" s="199">
        <f t="shared" si="335"/>
        <v>1693.25</v>
      </c>
      <c r="AA254" s="199"/>
      <c r="AB254" s="199">
        <f>(R254+Z254)*T254</f>
        <v>2539.875</v>
      </c>
      <c r="AC254" s="738">
        <f>AF254</f>
        <v>2460.125</v>
      </c>
      <c r="AD254" s="738">
        <f>AB254+AC254</f>
        <v>5000</v>
      </c>
      <c r="AE254" s="202">
        <f>20000*T254</f>
        <v>5000</v>
      </c>
      <c r="AF254" s="202">
        <f>AE254-AB254</f>
        <v>2460.125</v>
      </c>
      <c r="AG254" s="738">
        <f>7100*T254</f>
        <v>1775</v>
      </c>
      <c r="AH254" s="202">
        <f t="shared" si="336"/>
        <v>764.875</v>
      </c>
      <c r="AI254" s="203">
        <f>G254*S254</f>
        <v>0</v>
      </c>
      <c r="AJ254" s="203">
        <f>G254*T254</f>
        <v>1693.25</v>
      </c>
      <c r="AK254" s="203">
        <f t="shared" si="324"/>
        <v>0</v>
      </c>
      <c r="AL254" s="203">
        <f t="shared" si="325"/>
        <v>2116.5625</v>
      </c>
      <c r="AM254" s="203">
        <f t="shared" si="326"/>
        <v>0</v>
      </c>
      <c r="AN254" s="203">
        <f t="shared" si="327"/>
        <v>423.3125</v>
      </c>
      <c r="AO254" s="205">
        <f t="shared" si="328"/>
        <v>0</v>
      </c>
      <c r="AP254" s="205">
        <f t="shared" si="329"/>
        <v>423.3125</v>
      </c>
      <c r="AQ254" s="205">
        <f t="shared" si="330"/>
        <v>0</v>
      </c>
      <c r="AR254" s="205">
        <f t="shared" si="331"/>
        <v>0</v>
      </c>
      <c r="AS254" s="205">
        <f t="shared" si="332"/>
        <v>0</v>
      </c>
      <c r="AT254" s="209">
        <f t="shared" si="288"/>
        <v>0</v>
      </c>
      <c r="AU254" s="209">
        <f t="shared" si="288"/>
        <v>2116.5625</v>
      </c>
      <c r="AV254" s="203"/>
      <c r="AW254" s="251">
        <f>R254*T254</f>
        <v>2116.5625</v>
      </c>
      <c r="AX254" s="251"/>
      <c r="AY254" s="838">
        <f t="shared" si="333"/>
        <v>2116.5625</v>
      </c>
      <c r="AZ254" s="838"/>
      <c r="BA254" s="839"/>
    </row>
    <row r="255" spans="2:54" s="76" customFormat="1" ht="58.5">
      <c r="B255" s="703">
        <f t="shared" si="280"/>
        <v>175</v>
      </c>
      <c r="C255" s="197" t="s">
        <v>1036</v>
      </c>
      <c r="D255" s="198" t="s">
        <v>1040</v>
      </c>
      <c r="E255" s="703" t="s">
        <v>1041</v>
      </c>
      <c r="F255" s="703">
        <v>13</v>
      </c>
      <c r="G255" s="199">
        <v>7253</v>
      </c>
      <c r="H255" s="718"/>
      <c r="I255" s="703"/>
      <c r="J255" s="737">
        <v>0.25</v>
      </c>
      <c r="K255" s="204">
        <f>(G255+I255)*J255</f>
        <v>1813.25</v>
      </c>
      <c r="L255" s="703"/>
      <c r="M255" s="718"/>
      <c r="N255" s="703"/>
      <c r="O255" s="718"/>
      <c r="P255" s="199"/>
      <c r="Q255" s="199"/>
      <c r="R255" s="199">
        <f t="shared" si="317"/>
        <v>9066.25</v>
      </c>
      <c r="S255" s="199"/>
      <c r="T255" s="199">
        <v>0.5</v>
      </c>
      <c r="U255" s="199"/>
      <c r="V255" s="736"/>
      <c r="W255" s="199"/>
      <c r="X255" s="718">
        <v>9</v>
      </c>
      <c r="Y255" s="737">
        <v>0.1</v>
      </c>
      <c r="Z255" s="199">
        <f t="shared" si="335"/>
        <v>906.625</v>
      </c>
      <c r="AA255" s="199"/>
      <c r="AB255" s="199">
        <f>(R255+Z255)*T255</f>
        <v>4986.4375</v>
      </c>
      <c r="AC255" s="738">
        <f t="shared" si="318"/>
        <v>5013.5625</v>
      </c>
      <c r="AD255" s="738">
        <f t="shared" si="319"/>
        <v>10000</v>
      </c>
      <c r="AE255" s="202">
        <f>20000*T255</f>
        <v>10000</v>
      </c>
      <c r="AF255" s="202">
        <f t="shared" si="321"/>
        <v>5013.5625</v>
      </c>
      <c r="AG255" s="738">
        <f>7100*T255</f>
        <v>3550</v>
      </c>
      <c r="AH255" s="202">
        <f t="shared" si="336"/>
        <v>1436.4375</v>
      </c>
      <c r="AI255" s="203">
        <f t="shared" si="322"/>
        <v>0</v>
      </c>
      <c r="AJ255" s="203">
        <f t="shared" si="323"/>
        <v>3626.5</v>
      </c>
      <c r="AK255" s="203">
        <f t="shared" si="324"/>
        <v>0</v>
      </c>
      <c r="AL255" s="203">
        <f t="shared" si="325"/>
        <v>4533.125</v>
      </c>
      <c r="AM255" s="203">
        <f t="shared" si="326"/>
        <v>0</v>
      </c>
      <c r="AN255" s="203">
        <f t="shared" si="327"/>
        <v>906.625</v>
      </c>
      <c r="AO255" s="205">
        <f t="shared" si="328"/>
        <v>0</v>
      </c>
      <c r="AP255" s="205">
        <f t="shared" si="329"/>
        <v>453.3125</v>
      </c>
      <c r="AQ255" s="205">
        <f t="shared" si="330"/>
        <v>0</v>
      </c>
      <c r="AR255" s="205">
        <f t="shared" si="331"/>
        <v>0</v>
      </c>
      <c r="AS255" s="205">
        <f t="shared" si="332"/>
        <v>0</v>
      </c>
      <c r="AT255" s="209">
        <f t="shared" si="288"/>
        <v>0</v>
      </c>
      <c r="AU255" s="209">
        <f t="shared" si="288"/>
        <v>4533.125</v>
      </c>
      <c r="AV255" s="203"/>
      <c r="AW255" s="251">
        <f>R255*T255</f>
        <v>4533.125</v>
      </c>
      <c r="AX255" s="251"/>
      <c r="AY255" s="838">
        <f t="shared" si="333"/>
        <v>4533.125</v>
      </c>
      <c r="AZ255" s="838"/>
      <c r="BA255" s="839"/>
    </row>
    <row r="256" spans="2:54" s="76" customFormat="1" ht="87.75">
      <c r="B256" s="703">
        <f t="shared" si="280"/>
        <v>176</v>
      </c>
      <c r="C256" s="197" t="s">
        <v>1778</v>
      </c>
      <c r="D256" s="198" t="s">
        <v>1779</v>
      </c>
      <c r="E256" s="703" t="s">
        <v>1780</v>
      </c>
      <c r="F256" s="703">
        <v>11</v>
      </c>
      <c r="G256" s="199">
        <v>6294</v>
      </c>
      <c r="H256" s="718"/>
      <c r="I256" s="703"/>
      <c r="J256" s="737">
        <v>0.25</v>
      </c>
      <c r="K256" s="204">
        <f>(G256+I256)*J256</f>
        <v>1573.5</v>
      </c>
      <c r="L256" s="703"/>
      <c r="M256" s="718"/>
      <c r="N256" s="703"/>
      <c r="O256" s="718"/>
      <c r="P256" s="199"/>
      <c r="Q256" s="199"/>
      <c r="R256" s="199">
        <f t="shared" si="317"/>
        <v>7867.5</v>
      </c>
      <c r="S256" s="199">
        <v>1</v>
      </c>
      <c r="T256" s="199"/>
      <c r="U256" s="199"/>
      <c r="V256" s="736"/>
      <c r="W256" s="199"/>
      <c r="X256" s="718">
        <v>4</v>
      </c>
      <c r="Y256" s="737">
        <v>0.1</v>
      </c>
      <c r="Z256" s="199">
        <f t="shared" si="335"/>
        <v>786.75</v>
      </c>
      <c r="AA256" s="199"/>
      <c r="AB256" s="199">
        <f>(R256+Z256)*S256</f>
        <v>8654.25</v>
      </c>
      <c r="AC256" s="738">
        <f>AF256</f>
        <v>11345.75</v>
      </c>
      <c r="AD256" s="738">
        <f>AB256+AC256</f>
        <v>20000</v>
      </c>
      <c r="AE256" s="202">
        <f>20000*S256</f>
        <v>20000</v>
      </c>
      <c r="AF256" s="202">
        <f>AE256-AB256</f>
        <v>11345.75</v>
      </c>
      <c r="AG256" s="738">
        <f>7100*S256</f>
        <v>7100</v>
      </c>
      <c r="AH256" s="202">
        <f t="shared" si="336"/>
        <v>1554.25</v>
      </c>
      <c r="AI256" s="203">
        <f>G256*S256</f>
        <v>6294</v>
      </c>
      <c r="AJ256" s="203">
        <f>G256*T256</f>
        <v>0</v>
      </c>
      <c r="AK256" s="203">
        <f t="shared" si="324"/>
        <v>7867.5</v>
      </c>
      <c r="AL256" s="203">
        <f t="shared" si="325"/>
        <v>0</v>
      </c>
      <c r="AM256" s="203">
        <f t="shared" si="326"/>
        <v>1573.5</v>
      </c>
      <c r="AN256" s="203">
        <f t="shared" si="327"/>
        <v>0</v>
      </c>
      <c r="AO256" s="205">
        <f t="shared" si="328"/>
        <v>786.75</v>
      </c>
      <c r="AP256" s="205">
        <f t="shared" si="329"/>
        <v>0</v>
      </c>
      <c r="AQ256" s="205">
        <f t="shared" si="330"/>
        <v>0</v>
      </c>
      <c r="AR256" s="205">
        <f t="shared" si="331"/>
        <v>0</v>
      </c>
      <c r="AS256" s="205">
        <f t="shared" si="332"/>
        <v>0</v>
      </c>
      <c r="AT256" s="209">
        <f t="shared" si="288"/>
        <v>7867.5</v>
      </c>
      <c r="AU256" s="209">
        <f t="shared" si="288"/>
        <v>0</v>
      </c>
      <c r="AV256" s="203"/>
      <c r="AW256" s="251">
        <f>R256*S256</f>
        <v>7867.5</v>
      </c>
      <c r="AX256" s="251"/>
      <c r="AY256" s="838">
        <f t="shared" si="333"/>
        <v>7867.5</v>
      </c>
      <c r="AZ256" s="838"/>
      <c r="BA256" s="839"/>
    </row>
    <row r="257" spans="2:53" s="76" customFormat="1" ht="58.5">
      <c r="B257" s="703">
        <f t="shared" si="280"/>
        <v>177</v>
      </c>
      <c r="C257" s="197" t="s">
        <v>1015</v>
      </c>
      <c r="D257" s="198" t="s">
        <v>1833</v>
      </c>
      <c r="E257" s="703" t="s">
        <v>1781</v>
      </c>
      <c r="F257" s="703">
        <v>14</v>
      </c>
      <c r="G257" s="199">
        <v>7732</v>
      </c>
      <c r="H257" s="718"/>
      <c r="I257" s="703"/>
      <c r="J257" s="737">
        <v>0.25</v>
      </c>
      <c r="K257" s="204">
        <f>(G257+I257)*J257</f>
        <v>1933</v>
      </c>
      <c r="L257" s="703"/>
      <c r="M257" s="718"/>
      <c r="N257" s="703"/>
      <c r="O257" s="718"/>
      <c r="P257" s="199"/>
      <c r="Q257" s="199"/>
      <c r="R257" s="199">
        <f t="shared" si="317"/>
        <v>9665</v>
      </c>
      <c r="S257" s="199"/>
      <c r="T257" s="199">
        <v>0.75</v>
      </c>
      <c r="U257" s="199"/>
      <c r="V257" s="736"/>
      <c r="W257" s="199"/>
      <c r="X257" s="718">
        <v>16</v>
      </c>
      <c r="Y257" s="737">
        <v>0.2</v>
      </c>
      <c r="Z257" s="199">
        <f t="shared" si="335"/>
        <v>1933</v>
      </c>
      <c r="AA257" s="199"/>
      <c r="AB257" s="199">
        <f>(R257+Z257)*T257</f>
        <v>8698.5</v>
      </c>
      <c r="AC257" s="738">
        <f>AF257</f>
        <v>6301.5</v>
      </c>
      <c r="AD257" s="738">
        <f>AB257+AC257</f>
        <v>15000</v>
      </c>
      <c r="AE257" s="202">
        <f>20000*T257</f>
        <v>15000</v>
      </c>
      <c r="AF257" s="202">
        <f>AE257-AB257</f>
        <v>6301.5</v>
      </c>
      <c r="AG257" s="738">
        <f>7100*T257</f>
        <v>5325</v>
      </c>
      <c r="AH257" s="202">
        <f t="shared" si="336"/>
        <v>3373.5</v>
      </c>
      <c r="AI257" s="203">
        <f>G257*S257</f>
        <v>0</v>
      </c>
      <c r="AJ257" s="203">
        <f>G257*T257</f>
        <v>5799</v>
      </c>
      <c r="AK257" s="203">
        <f t="shared" si="324"/>
        <v>0</v>
      </c>
      <c r="AL257" s="203">
        <f t="shared" si="325"/>
        <v>7248.75</v>
      </c>
      <c r="AM257" s="203">
        <f t="shared" si="326"/>
        <v>0</v>
      </c>
      <c r="AN257" s="203">
        <f t="shared" si="327"/>
        <v>1449.75</v>
      </c>
      <c r="AO257" s="205">
        <f t="shared" si="328"/>
        <v>0</v>
      </c>
      <c r="AP257" s="205">
        <f t="shared" si="329"/>
        <v>1449.75</v>
      </c>
      <c r="AQ257" s="205">
        <f t="shared" si="330"/>
        <v>0</v>
      </c>
      <c r="AR257" s="205">
        <f t="shared" si="331"/>
        <v>0</v>
      </c>
      <c r="AS257" s="205">
        <f t="shared" si="332"/>
        <v>0</v>
      </c>
      <c r="AT257" s="209">
        <f t="shared" si="288"/>
        <v>0</v>
      </c>
      <c r="AU257" s="209">
        <f t="shared" si="288"/>
        <v>7248.75</v>
      </c>
      <c r="AV257" s="203"/>
      <c r="AW257" s="251">
        <f>R257*T257</f>
        <v>7248.75</v>
      </c>
      <c r="AX257" s="251"/>
      <c r="AY257" s="838">
        <f t="shared" si="333"/>
        <v>7248.75</v>
      </c>
      <c r="AZ257" s="838"/>
      <c r="BA257" s="839"/>
    </row>
    <row r="258" spans="2:53" s="76" customFormat="1">
      <c r="B258" s="703"/>
      <c r="C258" s="180" t="s">
        <v>1736</v>
      </c>
      <c r="D258" s="207"/>
      <c r="E258" s="193"/>
      <c r="F258" s="193"/>
      <c r="G258" s="183">
        <f>SUM(G245:G257)</f>
        <v>84637</v>
      </c>
      <c r="H258" s="731"/>
      <c r="I258" s="183">
        <f>SUM(I245:I257)</f>
        <v>1933</v>
      </c>
      <c r="J258" s="731"/>
      <c r="K258" s="185">
        <f>SUM(K245:K257)</f>
        <v>23092.25</v>
      </c>
      <c r="L258" s="193"/>
      <c r="M258" s="731"/>
      <c r="N258" s="193"/>
      <c r="O258" s="731"/>
      <c r="P258" s="193"/>
      <c r="Q258" s="193"/>
      <c r="R258" s="183">
        <f>SUM(R245:R257)</f>
        <v>109662.25</v>
      </c>
      <c r="S258" s="183">
        <f>SUM(S245:S257)</f>
        <v>6.5</v>
      </c>
      <c r="T258" s="183">
        <f>SUM(T245:T257)</f>
        <v>2.25</v>
      </c>
      <c r="U258" s="183"/>
      <c r="V258" s="742"/>
      <c r="W258" s="183"/>
      <c r="X258" s="742"/>
      <c r="Y258" s="742"/>
      <c r="Z258" s="183">
        <f>SUM(Z245:Z257)</f>
        <v>20138.55</v>
      </c>
      <c r="AA258" s="183">
        <f>SUM(AA245:AA257)</f>
        <v>0</v>
      </c>
      <c r="AB258" s="183">
        <f>SUM(AB245:AB257)</f>
        <v>95029.456250000003</v>
      </c>
      <c r="AC258" s="183">
        <f t="shared" ref="AC258:AV258" si="338">SUM(AC245:AC257)</f>
        <v>79970.543749999997</v>
      </c>
      <c r="AD258" s="183">
        <f>SUM(AD245:AD257)</f>
        <v>175000</v>
      </c>
      <c r="AE258" s="183">
        <f t="shared" si="338"/>
        <v>175000</v>
      </c>
      <c r="AF258" s="183">
        <f t="shared" si="338"/>
        <v>79970.543749999997</v>
      </c>
      <c r="AG258" s="183">
        <f>SUM(AG245:AG257)</f>
        <v>62125</v>
      </c>
      <c r="AH258" s="183">
        <f t="shared" si="338"/>
        <v>32904.456250000003</v>
      </c>
      <c r="AI258" s="183">
        <f t="shared" si="338"/>
        <v>44746.5</v>
      </c>
      <c r="AJ258" s="183">
        <f t="shared" si="338"/>
        <v>16558.5</v>
      </c>
      <c r="AK258" s="183">
        <f t="shared" si="338"/>
        <v>59799.125</v>
      </c>
      <c r="AL258" s="183">
        <f t="shared" si="338"/>
        <v>20698.125</v>
      </c>
      <c r="AM258" s="183">
        <f t="shared" si="338"/>
        <v>15052.625</v>
      </c>
      <c r="AN258" s="183">
        <f t="shared" si="338"/>
        <v>4139.625</v>
      </c>
      <c r="AO258" s="183">
        <f t="shared" si="338"/>
        <v>10165.924999999999</v>
      </c>
      <c r="AP258" s="183">
        <f t="shared" si="338"/>
        <v>4366.28125</v>
      </c>
      <c r="AQ258" s="183">
        <f t="shared" si="338"/>
        <v>0</v>
      </c>
      <c r="AR258" s="183">
        <f t="shared" si="338"/>
        <v>0</v>
      </c>
      <c r="AS258" s="183">
        <f t="shared" si="338"/>
        <v>0</v>
      </c>
      <c r="AT258" s="183">
        <f t="shared" si="338"/>
        <v>59799.125</v>
      </c>
      <c r="AU258" s="183">
        <f t="shared" si="338"/>
        <v>20698.125</v>
      </c>
      <c r="AV258" s="183">
        <f t="shared" si="338"/>
        <v>0</v>
      </c>
      <c r="AW258" s="183">
        <f>SUM(AW245:AW257)</f>
        <v>80497.25</v>
      </c>
      <c r="AX258" s="251"/>
      <c r="AY258" s="839"/>
      <c r="AZ258" s="838"/>
      <c r="BA258" s="839"/>
    </row>
    <row r="259" spans="2:53" s="76" customFormat="1">
      <c r="B259" s="703"/>
      <c r="C259" s="220" t="s">
        <v>1581</v>
      </c>
      <c r="D259" s="192"/>
      <c r="E259" s="193"/>
      <c r="F259" s="193"/>
      <c r="G259" s="193"/>
      <c r="H259" s="731"/>
      <c r="I259" s="193"/>
      <c r="J259" s="731"/>
      <c r="K259" s="193"/>
      <c r="L259" s="193"/>
      <c r="M259" s="731"/>
      <c r="N259" s="193"/>
      <c r="O259" s="731"/>
      <c r="P259" s="193"/>
      <c r="Q259" s="193"/>
      <c r="R259" s="193"/>
      <c r="S259" s="193"/>
      <c r="T259" s="193"/>
      <c r="U259" s="193"/>
      <c r="V259" s="732"/>
      <c r="W259" s="193"/>
      <c r="X259" s="732"/>
      <c r="Y259" s="732"/>
      <c r="Z259" s="193"/>
      <c r="AA259" s="193"/>
      <c r="AB259" s="193"/>
      <c r="AC259" s="195"/>
      <c r="AD259" s="195"/>
      <c r="AE259" s="195"/>
      <c r="AF259" s="195"/>
      <c r="AG259" s="195"/>
      <c r="AH259" s="195"/>
      <c r="AI259" s="203"/>
      <c r="AJ259" s="203"/>
      <c r="AK259" s="203"/>
      <c r="AL259" s="203"/>
      <c r="AM259" s="203"/>
      <c r="AN259" s="203"/>
      <c r="AO259" s="205"/>
      <c r="AP259" s="205"/>
      <c r="AQ259" s="205"/>
      <c r="AR259" s="205"/>
      <c r="AS259" s="205"/>
      <c r="AT259" s="209"/>
      <c r="AU259" s="209"/>
      <c r="AV259" s="203"/>
      <c r="AW259" s="251"/>
      <c r="AX259" s="251"/>
      <c r="AY259" s="839"/>
      <c r="AZ259" s="838"/>
      <c r="BA259" s="839"/>
    </row>
    <row r="260" spans="2:53" s="76" customFormat="1" ht="63">
      <c r="B260" s="703">
        <f>B257+1</f>
        <v>178</v>
      </c>
      <c r="C260" s="197" t="s">
        <v>1080</v>
      </c>
      <c r="D260" s="198" t="s">
        <v>1865</v>
      </c>
      <c r="E260" s="703" t="s">
        <v>1112</v>
      </c>
      <c r="F260" s="703">
        <v>9</v>
      </c>
      <c r="G260" s="199">
        <v>5527</v>
      </c>
      <c r="H260" s="737">
        <v>0.1</v>
      </c>
      <c r="I260" s="703">
        <f>G260*H260</f>
        <v>552.70000000000005</v>
      </c>
      <c r="J260" s="736"/>
      <c r="K260" s="199"/>
      <c r="L260" s="199"/>
      <c r="M260" s="736"/>
      <c r="N260" s="199"/>
      <c r="O260" s="736"/>
      <c r="P260" s="199"/>
      <c r="Q260" s="199"/>
      <c r="R260" s="199">
        <f>G260+I260+K260+L260+N260+P260+Q260</f>
        <v>6079.7</v>
      </c>
      <c r="S260" s="199">
        <v>1</v>
      </c>
      <c r="T260" s="199"/>
      <c r="U260" s="199"/>
      <c r="V260" s="736"/>
      <c r="W260" s="199"/>
      <c r="X260" s="718">
        <v>33</v>
      </c>
      <c r="Y260" s="737">
        <v>0.3</v>
      </c>
      <c r="Z260" s="199">
        <f t="shared" ref="Z260:Z266" si="339">R260*Y260</f>
        <v>1823.9099999999999</v>
      </c>
      <c r="AA260" s="199"/>
      <c r="AB260" s="199">
        <f t="shared" ref="AB260:AB265" si="340">(R260+Z260)*S260+AA260</f>
        <v>7903.61</v>
      </c>
      <c r="AC260" s="738">
        <f t="shared" ref="AC260:AC266" si="341">AF260</f>
        <v>5596.39</v>
      </c>
      <c r="AD260" s="738">
        <f t="shared" ref="AD260:AD266" si="342">AB260+AC260</f>
        <v>13500</v>
      </c>
      <c r="AE260" s="202">
        <f t="shared" ref="AE260:AE266" si="343">13500*S260</f>
        <v>13500</v>
      </c>
      <c r="AF260" s="202">
        <f t="shared" ref="AF260:AF266" si="344">AE260-AB260</f>
        <v>5596.39</v>
      </c>
      <c r="AG260" s="738">
        <f>7100*S260</f>
        <v>7100</v>
      </c>
      <c r="AH260" s="202"/>
      <c r="AI260" s="203">
        <f t="shared" ref="AI260:AI266" si="345">G260*S260</f>
        <v>5527</v>
      </c>
      <c r="AJ260" s="203">
        <f t="shared" ref="AJ260:AJ266" si="346">G260*T260</f>
        <v>0</v>
      </c>
      <c r="AK260" s="203">
        <f t="shared" ref="AK260:AK266" si="347">R260*S260</f>
        <v>6079.7</v>
      </c>
      <c r="AL260" s="203">
        <f t="shared" ref="AL260:AL266" si="348">R260*T260</f>
        <v>0</v>
      </c>
      <c r="AM260" s="203">
        <f t="shared" ref="AM260:AN266" si="349">AK260-AI260</f>
        <v>552.69999999999982</v>
      </c>
      <c r="AN260" s="203">
        <f t="shared" si="349"/>
        <v>0</v>
      </c>
      <c r="AO260" s="205">
        <f t="shared" ref="AO260:AO266" si="350">Z260*S260</f>
        <v>1823.9099999999999</v>
      </c>
      <c r="AP260" s="205">
        <f t="shared" ref="AP260:AP266" si="351">Z260*T260</f>
        <v>0</v>
      </c>
      <c r="AQ260" s="205">
        <f t="shared" ref="AQ260:AQ266" si="352">AA260</f>
        <v>0</v>
      </c>
      <c r="AR260" s="205">
        <f t="shared" ref="AR260:AR266" si="353">W260*S260</f>
        <v>0</v>
      </c>
      <c r="AS260" s="205">
        <f t="shared" ref="AS260:AS266" si="354">W260*T260</f>
        <v>0</v>
      </c>
      <c r="AT260" s="209">
        <f t="shared" si="288"/>
        <v>6079.7</v>
      </c>
      <c r="AU260" s="209">
        <f t="shared" si="288"/>
        <v>0</v>
      </c>
      <c r="AV260" s="203"/>
      <c r="AW260" s="251">
        <f>R260*S260</f>
        <v>6079.7</v>
      </c>
      <c r="AX260" s="251"/>
      <c r="AY260" s="838">
        <f t="shared" ref="AY260:AY266" si="355">AW260</f>
        <v>6079.7</v>
      </c>
      <c r="AZ260" s="838"/>
      <c r="BA260" s="839"/>
    </row>
    <row r="261" spans="2:53" s="76" customFormat="1" ht="63">
      <c r="B261" s="703">
        <f t="shared" si="280"/>
        <v>179</v>
      </c>
      <c r="C261" s="197" t="s">
        <v>1064</v>
      </c>
      <c r="D261" s="198" t="s">
        <v>1102</v>
      </c>
      <c r="E261" s="703" t="s">
        <v>1103</v>
      </c>
      <c r="F261" s="703">
        <v>9</v>
      </c>
      <c r="G261" s="199">
        <v>5527</v>
      </c>
      <c r="H261" s="736"/>
      <c r="I261" s="199"/>
      <c r="J261" s="737"/>
      <c r="K261" s="201"/>
      <c r="L261" s="201"/>
      <c r="M261" s="736"/>
      <c r="N261" s="199"/>
      <c r="O261" s="736"/>
      <c r="P261" s="206"/>
      <c r="Q261" s="206"/>
      <c r="R261" s="199">
        <f t="shared" ref="R261:R266" si="356">G261+I261+K261+L261+N261+P261+Q261</f>
        <v>5527</v>
      </c>
      <c r="S261" s="199">
        <v>1</v>
      </c>
      <c r="T261" s="199"/>
      <c r="U261" s="206"/>
      <c r="V261" s="741"/>
      <c r="W261" s="206"/>
      <c r="X261" s="718">
        <v>32</v>
      </c>
      <c r="Y261" s="737">
        <v>0.3</v>
      </c>
      <c r="Z261" s="199">
        <f t="shared" si="339"/>
        <v>1658.1</v>
      </c>
      <c r="AA261" s="199"/>
      <c r="AB261" s="199">
        <f t="shared" si="340"/>
        <v>7185.1</v>
      </c>
      <c r="AC261" s="738">
        <f t="shared" si="341"/>
        <v>6314.9</v>
      </c>
      <c r="AD261" s="738">
        <f t="shared" si="342"/>
        <v>13500</v>
      </c>
      <c r="AE261" s="202">
        <f t="shared" si="343"/>
        <v>13500</v>
      </c>
      <c r="AF261" s="202">
        <f t="shared" si="344"/>
        <v>6314.9</v>
      </c>
      <c r="AG261" s="738">
        <f t="shared" ref="AG261:AG266" si="357">7100*S261</f>
        <v>7100</v>
      </c>
      <c r="AH261" s="202">
        <f>AG261-(R261*S261)-Z261</f>
        <v>-85.099999999999909</v>
      </c>
      <c r="AI261" s="203">
        <f t="shared" si="345"/>
        <v>5527</v>
      </c>
      <c r="AJ261" s="203">
        <f t="shared" si="346"/>
        <v>0</v>
      </c>
      <c r="AK261" s="203">
        <f t="shared" si="347"/>
        <v>5527</v>
      </c>
      <c r="AL261" s="203">
        <f t="shared" si="348"/>
        <v>0</v>
      </c>
      <c r="AM261" s="203">
        <f t="shared" si="349"/>
        <v>0</v>
      </c>
      <c r="AN261" s="203">
        <f t="shared" si="349"/>
        <v>0</v>
      </c>
      <c r="AO261" s="205">
        <f t="shared" si="350"/>
        <v>1658.1</v>
      </c>
      <c r="AP261" s="205">
        <f t="shared" si="351"/>
        <v>0</v>
      </c>
      <c r="AQ261" s="205">
        <f t="shared" si="352"/>
        <v>0</v>
      </c>
      <c r="AR261" s="205">
        <f t="shared" si="353"/>
        <v>0</v>
      </c>
      <c r="AS261" s="205">
        <f t="shared" si="354"/>
        <v>0</v>
      </c>
      <c r="AT261" s="209">
        <f t="shared" si="288"/>
        <v>5527</v>
      </c>
      <c r="AU261" s="209">
        <f t="shared" si="288"/>
        <v>0</v>
      </c>
      <c r="AV261" s="203"/>
      <c r="AW261" s="251">
        <f t="shared" ref="AW261:AW266" si="358">R261*S261</f>
        <v>5527</v>
      </c>
      <c r="AX261" s="251"/>
      <c r="AY261" s="838">
        <f t="shared" si="355"/>
        <v>5527</v>
      </c>
      <c r="AZ261" s="838"/>
      <c r="BA261" s="839"/>
    </row>
    <row r="262" spans="2:53" s="76" customFormat="1" ht="63">
      <c r="B262" s="703">
        <f t="shared" si="280"/>
        <v>180</v>
      </c>
      <c r="C262" s="197" t="s">
        <v>1064</v>
      </c>
      <c r="D262" s="198" t="s">
        <v>1104</v>
      </c>
      <c r="E262" s="703" t="s">
        <v>1105</v>
      </c>
      <c r="F262" s="703">
        <v>9</v>
      </c>
      <c r="G262" s="199">
        <v>5527</v>
      </c>
      <c r="H262" s="736"/>
      <c r="I262" s="199"/>
      <c r="J262" s="736"/>
      <c r="K262" s="199"/>
      <c r="L262" s="199"/>
      <c r="M262" s="736"/>
      <c r="N262" s="199"/>
      <c r="O262" s="736"/>
      <c r="P262" s="199"/>
      <c r="Q262" s="199"/>
      <c r="R262" s="199">
        <f t="shared" si="356"/>
        <v>5527</v>
      </c>
      <c r="S262" s="199">
        <f>0.5+0.5</f>
        <v>1</v>
      </c>
      <c r="T262" s="206"/>
      <c r="U262" s="206"/>
      <c r="V262" s="741"/>
      <c r="W262" s="206"/>
      <c r="X262" s="718">
        <v>37</v>
      </c>
      <c r="Y262" s="737">
        <v>0.3</v>
      </c>
      <c r="Z262" s="199">
        <f t="shared" si="339"/>
        <v>1658.1</v>
      </c>
      <c r="AA262" s="199"/>
      <c r="AB262" s="199">
        <f t="shared" si="340"/>
        <v>7185.1</v>
      </c>
      <c r="AC262" s="738">
        <f>AF262</f>
        <v>6314.9</v>
      </c>
      <c r="AD262" s="738">
        <f>AB262+AC262</f>
        <v>13500</v>
      </c>
      <c r="AE262" s="202">
        <f>13500*S262</f>
        <v>13500</v>
      </c>
      <c r="AF262" s="202">
        <f>AE262-AB262</f>
        <v>6314.9</v>
      </c>
      <c r="AG262" s="738">
        <f t="shared" si="357"/>
        <v>7100</v>
      </c>
      <c r="AH262" s="202">
        <f>AG262-(R262*S262)-Z262</f>
        <v>-85.099999999999909</v>
      </c>
      <c r="AI262" s="203">
        <f t="shared" si="345"/>
        <v>5527</v>
      </c>
      <c r="AJ262" s="203">
        <f t="shared" si="346"/>
        <v>0</v>
      </c>
      <c r="AK262" s="203">
        <f t="shared" si="347"/>
        <v>5527</v>
      </c>
      <c r="AL262" s="203">
        <f t="shared" si="348"/>
        <v>0</v>
      </c>
      <c r="AM262" s="203">
        <f t="shared" si="349"/>
        <v>0</v>
      </c>
      <c r="AN262" s="203">
        <f t="shared" si="349"/>
        <v>0</v>
      </c>
      <c r="AO262" s="205">
        <f t="shared" si="350"/>
        <v>1658.1</v>
      </c>
      <c r="AP262" s="205">
        <f t="shared" si="351"/>
        <v>0</v>
      </c>
      <c r="AQ262" s="205">
        <f t="shared" si="352"/>
        <v>0</v>
      </c>
      <c r="AR262" s="205">
        <f t="shared" si="353"/>
        <v>0</v>
      </c>
      <c r="AS262" s="205">
        <f t="shared" si="354"/>
        <v>0</v>
      </c>
      <c r="AT262" s="209">
        <f t="shared" si="288"/>
        <v>5527</v>
      </c>
      <c r="AU262" s="209">
        <f t="shared" si="288"/>
        <v>0</v>
      </c>
      <c r="AV262" s="203"/>
      <c r="AW262" s="251">
        <f t="shared" si="358"/>
        <v>5527</v>
      </c>
      <c r="AX262" s="251"/>
      <c r="AY262" s="838">
        <f t="shared" si="355"/>
        <v>5527</v>
      </c>
      <c r="AZ262" s="838"/>
      <c r="BA262" s="839"/>
    </row>
    <row r="263" spans="2:53" s="76" customFormat="1" ht="87.75">
      <c r="B263" s="703">
        <f t="shared" si="280"/>
        <v>181</v>
      </c>
      <c r="C263" s="197" t="s">
        <v>1064</v>
      </c>
      <c r="D263" s="198" t="s">
        <v>188</v>
      </c>
      <c r="E263" s="703" t="s">
        <v>1101</v>
      </c>
      <c r="F263" s="703">
        <v>9</v>
      </c>
      <c r="G263" s="199">
        <v>5527</v>
      </c>
      <c r="H263" s="736"/>
      <c r="I263" s="199"/>
      <c r="J263" s="736"/>
      <c r="K263" s="199"/>
      <c r="L263" s="199"/>
      <c r="M263" s="736"/>
      <c r="N263" s="199"/>
      <c r="O263" s="736"/>
      <c r="P263" s="199"/>
      <c r="Q263" s="199"/>
      <c r="R263" s="199">
        <f t="shared" si="356"/>
        <v>5527</v>
      </c>
      <c r="S263" s="199">
        <v>1</v>
      </c>
      <c r="T263" s="199"/>
      <c r="U263" s="199"/>
      <c r="V263" s="736"/>
      <c r="W263" s="199"/>
      <c r="X263" s="718">
        <v>30</v>
      </c>
      <c r="Y263" s="737">
        <v>0.3</v>
      </c>
      <c r="Z263" s="199">
        <f t="shared" si="339"/>
        <v>1658.1</v>
      </c>
      <c r="AA263" s="199"/>
      <c r="AB263" s="199">
        <f t="shared" si="340"/>
        <v>7185.1</v>
      </c>
      <c r="AC263" s="738">
        <f>AF263</f>
        <v>6314.9</v>
      </c>
      <c r="AD263" s="738">
        <f>AB263+AC263</f>
        <v>13500</v>
      </c>
      <c r="AE263" s="202">
        <f>13500*S263</f>
        <v>13500</v>
      </c>
      <c r="AF263" s="202">
        <f>AE263-AB263</f>
        <v>6314.9</v>
      </c>
      <c r="AG263" s="738">
        <f t="shared" si="357"/>
        <v>7100</v>
      </c>
      <c r="AH263" s="202">
        <f>AG263-(R263*S263)-Z263</f>
        <v>-85.099999999999909</v>
      </c>
      <c r="AI263" s="203">
        <f t="shared" si="345"/>
        <v>5527</v>
      </c>
      <c r="AJ263" s="203">
        <f t="shared" si="346"/>
        <v>0</v>
      </c>
      <c r="AK263" s="203">
        <f t="shared" si="347"/>
        <v>5527</v>
      </c>
      <c r="AL263" s="203">
        <f t="shared" si="348"/>
        <v>0</v>
      </c>
      <c r="AM263" s="203">
        <f t="shared" si="349"/>
        <v>0</v>
      </c>
      <c r="AN263" s="203">
        <f t="shared" si="349"/>
        <v>0</v>
      </c>
      <c r="AO263" s="205">
        <f t="shared" si="350"/>
        <v>1658.1</v>
      </c>
      <c r="AP263" s="205">
        <f t="shared" si="351"/>
        <v>0</v>
      </c>
      <c r="AQ263" s="205">
        <f t="shared" si="352"/>
        <v>0</v>
      </c>
      <c r="AR263" s="205">
        <f t="shared" si="353"/>
        <v>0</v>
      </c>
      <c r="AS263" s="205">
        <f t="shared" si="354"/>
        <v>0</v>
      </c>
      <c r="AT263" s="209">
        <f t="shared" si="288"/>
        <v>5527</v>
      </c>
      <c r="AU263" s="209">
        <f t="shared" si="288"/>
        <v>0</v>
      </c>
      <c r="AV263" s="203"/>
      <c r="AW263" s="251">
        <f t="shared" si="358"/>
        <v>5527</v>
      </c>
      <c r="AX263" s="251"/>
      <c r="AY263" s="838">
        <f t="shared" si="355"/>
        <v>5527</v>
      </c>
      <c r="AZ263" s="838"/>
      <c r="BA263" s="839"/>
    </row>
    <row r="264" spans="2:53" s="76" customFormat="1" ht="87.75">
      <c r="B264" s="703">
        <f t="shared" si="280"/>
        <v>182</v>
      </c>
      <c r="C264" s="197" t="s">
        <v>1064</v>
      </c>
      <c r="D264" s="198" t="s">
        <v>189</v>
      </c>
      <c r="E264" s="703" t="s">
        <v>1137</v>
      </c>
      <c r="F264" s="703">
        <v>9</v>
      </c>
      <c r="G264" s="199">
        <v>5527</v>
      </c>
      <c r="H264" s="736"/>
      <c r="I264" s="199"/>
      <c r="J264" s="736"/>
      <c r="K264" s="199"/>
      <c r="L264" s="199"/>
      <c r="M264" s="736"/>
      <c r="N264" s="199"/>
      <c r="O264" s="736"/>
      <c r="P264" s="199"/>
      <c r="Q264" s="199"/>
      <c r="R264" s="199">
        <f t="shared" si="356"/>
        <v>5527</v>
      </c>
      <c r="S264" s="199">
        <v>1</v>
      </c>
      <c r="T264" s="199"/>
      <c r="U264" s="199"/>
      <c r="V264" s="736"/>
      <c r="W264" s="199"/>
      <c r="X264" s="718">
        <v>34</v>
      </c>
      <c r="Y264" s="737">
        <v>0.3</v>
      </c>
      <c r="Z264" s="199">
        <f t="shared" si="339"/>
        <v>1658.1</v>
      </c>
      <c r="AA264" s="199"/>
      <c r="AB264" s="199">
        <f t="shared" si="340"/>
        <v>7185.1</v>
      </c>
      <c r="AC264" s="738">
        <f>AF264</f>
        <v>6314.9</v>
      </c>
      <c r="AD264" s="738">
        <f>AB264+AC264</f>
        <v>13500</v>
      </c>
      <c r="AE264" s="202">
        <f>13500*S264</f>
        <v>13500</v>
      </c>
      <c r="AF264" s="202">
        <f>AE264-AB264</f>
        <v>6314.9</v>
      </c>
      <c r="AG264" s="738">
        <f t="shared" si="357"/>
        <v>7100</v>
      </c>
      <c r="AH264" s="202">
        <f>AG264-(R264*S264)-Z264</f>
        <v>-85.099999999999909</v>
      </c>
      <c r="AI264" s="203">
        <f t="shared" si="345"/>
        <v>5527</v>
      </c>
      <c r="AJ264" s="203">
        <f t="shared" si="346"/>
        <v>0</v>
      </c>
      <c r="AK264" s="203">
        <f t="shared" si="347"/>
        <v>5527</v>
      </c>
      <c r="AL264" s="203">
        <f t="shared" si="348"/>
        <v>0</v>
      </c>
      <c r="AM264" s="203">
        <f t="shared" si="349"/>
        <v>0</v>
      </c>
      <c r="AN264" s="203">
        <f t="shared" si="349"/>
        <v>0</v>
      </c>
      <c r="AO264" s="205">
        <f t="shared" si="350"/>
        <v>1658.1</v>
      </c>
      <c r="AP264" s="205">
        <f t="shared" si="351"/>
        <v>0</v>
      </c>
      <c r="AQ264" s="205">
        <f t="shared" si="352"/>
        <v>0</v>
      </c>
      <c r="AR264" s="205">
        <f t="shared" si="353"/>
        <v>0</v>
      </c>
      <c r="AS264" s="205">
        <f t="shared" si="354"/>
        <v>0</v>
      </c>
      <c r="AT264" s="209">
        <f t="shared" si="288"/>
        <v>5527</v>
      </c>
      <c r="AU264" s="209">
        <f t="shared" si="288"/>
        <v>0</v>
      </c>
      <c r="AV264" s="203"/>
      <c r="AW264" s="251">
        <f t="shared" si="358"/>
        <v>5527</v>
      </c>
      <c r="AX264" s="251"/>
      <c r="AY264" s="838">
        <f t="shared" si="355"/>
        <v>5527</v>
      </c>
      <c r="AZ264" s="838"/>
      <c r="BA264" s="839"/>
    </row>
    <row r="265" spans="2:53" s="76" customFormat="1" ht="63">
      <c r="B265" s="703">
        <f t="shared" si="280"/>
        <v>183</v>
      </c>
      <c r="C265" s="197" t="s">
        <v>1064</v>
      </c>
      <c r="D265" s="198" t="s">
        <v>1368</v>
      </c>
      <c r="E265" s="703" t="s">
        <v>1106</v>
      </c>
      <c r="F265" s="703">
        <v>9</v>
      </c>
      <c r="G265" s="199">
        <v>5527</v>
      </c>
      <c r="H265" s="736"/>
      <c r="I265" s="199"/>
      <c r="J265" s="736"/>
      <c r="K265" s="199"/>
      <c r="L265" s="199"/>
      <c r="M265" s="736"/>
      <c r="N265" s="199"/>
      <c r="O265" s="736"/>
      <c r="P265" s="199"/>
      <c r="Q265" s="199"/>
      <c r="R265" s="199">
        <f t="shared" si="356"/>
        <v>5527</v>
      </c>
      <c r="S265" s="199">
        <v>1</v>
      </c>
      <c r="T265" s="199"/>
      <c r="U265" s="199"/>
      <c r="V265" s="736"/>
      <c r="W265" s="199"/>
      <c r="X265" s="718">
        <v>33</v>
      </c>
      <c r="Y265" s="737">
        <v>0.3</v>
      </c>
      <c r="Z265" s="199">
        <f t="shared" si="339"/>
        <v>1658.1</v>
      </c>
      <c r="AA265" s="199"/>
      <c r="AB265" s="199">
        <f t="shared" si="340"/>
        <v>7185.1</v>
      </c>
      <c r="AC265" s="738">
        <f>AF265</f>
        <v>6314.9</v>
      </c>
      <c r="AD265" s="738">
        <f>AB265+AC265</f>
        <v>13500</v>
      </c>
      <c r="AE265" s="202">
        <f>13500*S265</f>
        <v>13500</v>
      </c>
      <c r="AF265" s="202">
        <f>AE265-AB265</f>
        <v>6314.9</v>
      </c>
      <c r="AG265" s="738">
        <f t="shared" si="357"/>
        <v>7100</v>
      </c>
      <c r="AH265" s="202">
        <f>AG265-(R265*S265)-Z265</f>
        <v>-85.099999999999909</v>
      </c>
      <c r="AI265" s="203">
        <f t="shared" si="345"/>
        <v>5527</v>
      </c>
      <c r="AJ265" s="203">
        <f t="shared" si="346"/>
        <v>0</v>
      </c>
      <c r="AK265" s="203">
        <f t="shared" si="347"/>
        <v>5527</v>
      </c>
      <c r="AL265" s="203">
        <f t="shared" si="348"/>
        <v>0</v>
      </c>
      <c r="AM265" s="203">
        <f t="shared" si="349"/>
        <v>0</v>
      </c>
      <c r="AN265" s="203">
        <f t="shared" si="349"/>
        <v>0</v>
      </c>
      <c r="AO265" s="205">
        <f t="shared" si="350"/>
        <v>1658.1</v>
      </c>
      <c r="AP265" s="205">
        <f t="shared" si="351"/>
        <v>0</v>
      </c>
      <c r="AQ265" s="205">
        <f t="shared" si="352"/>
        <v>0</v>
      </c>
      <c r="AR265" s="205">
        <f t="shared" si="353"/>
        <v>0</v>
      </c>
      <c r="AS265" s="205">
        <f t="shared" si="354"/>
        <v>0</v>
      </c>
      <c r="AT265" s="209">
        <f t="shared" si="288"/>
        <v>5527</v>
      </c>
      <c r="AU265" s="209">
        <f t="shared" si="288"/>
        <v>0</v>
      </c>
      <c r="AV265" s="203"/>
      <c r="AW265" s="251">
        <f t="shared" si="358"/>
        <v>5527</v>
      </c>
      <c r="AX265" s="251"/>
      <c r="AY265" s="838">
        <f t="shared" si="355"/>
        <v>5527</v>
      </c>
      <c r="AZ265" s="838"/>
      <c r="BA265" s="839"/>
    </row>
    <row r="266" spans="2:53" s="76" customFormat="1" ht="94.5">
      <c r="B266" s="703">
        <f t="shared" si="280"/>
        <v>184</v>
      </c>
      <c r="C266" s="197" t="s">
        <v>1139</v>
      </c>
      <c r="D266" s="198" t="s">
        <v>1140</v>
      </c>
      <c r="E266" s="703" t="s">
        <v>1141</v>
      </c>
      <c r="F266" s="703">
        <v>10</v>
      </c>
      <c r="G266" s="199">
        <v>5815</v>
      </c>
      <c r="H266" s="736"/>
      <c r="I266" s="199"/>
      <c r="J266" s="736"/>
      <c r="K266" s="199"/>
      <c r="L266" s="199"/>
      <c r="M266" s="736"/>
      <c r="N266" s="199"/>
      <c r="O266" s="736"/>
      <c r="P266" s="199"/>
      <c r="Q266" s="199"/>
      <c r="R266" s="199">
        <f t="shared" si="356"/>
        <v>5815</v>
      </c>
      <c r="S266" s="199">
        <v>1</v>
      </c>
      <c r="T266" s="199"/>
      <c r="U266" s="199"/>
      <c r="V266" s="736"/>
      <c r="W266" s="199"/>
      <c r="X266" s="718">
        <v>39</v>
      </c>
      <c r="Y266" s="737">
        <v>0.3</v>
      </c>
      <c r="Z266" s="199">
        <f t="shared" si="339"/>
        <v>1744.5</v>
      </c>
      <c r="AA266" s="199"/>
      <c r="AB266" s="199">
        <f>(R266+Z266)*S266</f>
        <v>7559.5</v>
      </c>
      <c r="AC266" s="738">
        <f t="shared" si="341"/>
        <v>5940.5</v>
      </c>
      <c r="AD266" s="738">
        <f t="shared" si="342"/>
        <v>13500</v>
      </c>
      <c r="AE266" s="202">
        <f t="shared" si="343"/>
        <v>13500</v>
      </c>
      <c r="AF266" s="202">
        <f t="shared" si="344"/>
        <v>5940.5</v>
      </c>
      <c r="AG266" s="738">
        <f t="shared" si="357"/>
        <v>7100</v>
      </c>
      <c r="AH266" s="202"/>
      <c r="AI266" s="203">
        <f t="shared" si="345"/>
        <v>5815</v>
      </c>
      <c r="AJ266" s="203">
        <f t="shared" si="346"/>
        <v>0</v>
      </c>
      <c r="AK266" s="203">
        <f t="shared" si="347"/>
        <v>5815</v>
      </c>
      <c r="AL266" s="203">
        <f t="shared" si="348"/>
        <v>0</v>
      </c>
      <c r="AM266" s="203">
        <f t="shared" si="349"/>
        <v>0</v>
      </c>
      <c r="AN266" s="203">
        <f t="shared" si="349"/>
        <v>0</v>
      </c>
      <c r="AO266" s="205">
        <f t="shared" si="350"/>
        <v>1744.5</v>
      </c>
      <c r="AP266" s="205">
        <f t="shared" si="351"/>
        <v>0</v>
      </c>
      <c r="AQ266" s="205">
        <f t="shared" si="352"/>
        <v>0</v>
      </c>
      <c r="AR266" s="205">
        <f t="shared" si="353"/>
        <v>0</v>
      </c>
      <c r="AS266" s="205">
        <f t="shared" si="354"/>
        <v>0</v>
      </c>
      <c r="AT266" s="209">
        <f t="shared" si="288"/>
        <v>5815</v>
      </c>
      <c r="AU266" s="209">
        <f t="shared" si="288"/>
        <v>0</v>
      </c>
      <c r="AV266" s="203"/>
      <c r="AW266" s="251">
        <f t="shared" si="358"/>
        <v>5815</v>
      </c>
      <c r="AX266" s="251"/>
      <c r="AY266" s="838">
        <f t="shared" si="355"/>
        <v>5815</v>
      </c>
      <c r="AZ266" s="838"/>
      <c r="BA266" s="839"/>
    </row>
    <row r="267" spans="2:53" s="76" customFormat="1">
      <c r="B267" s="703"/>
      <c r="C267" s="180" t="s">
        <v>1736</v>
      </c>
      <c r="D267" s="207"/>
      <c r="E267" s="193"/>
      <c r="F267" s="193"/>
      <c r="G267" s="183">
        <f>SUM(G260:G266)</f>
        <v>38977</v>
      </c>
      <c r="H267" s="752"/>
      <c r="I267" s="183">
        <f>SUM(I260:I266)</f>
        <v>552.70000000000005</v>
      </c>
      <c r="J267" s="731"/>
      <c r="K267" s="193"/>
      <c r="L267" s="193"/>
      <c r="M267" s="731"/>
      <c r="N267" s="193"/>
      <c r="O267" s="731"/>
      <c r="P267" s="193"/>
      <c r="Q267" s="193"/>
      <c r="R267" s="183">
        <f>SUM(R260:R266)</f>
        <v>39529.699999999997</v>
      </c>
      <c r="S267" s="183">
        <f>SUM(S260:S266)</f>
        <v>7</v>
      </c>
      <c r="T267" s="183">
        <f>SUM(T260:T266)</f>
        <v>0</v>
      </c>
      <c r="U267" s="183"/>
      <c r="V267" s="742"/>
      <c r="W267" s="183"/>
      <c r="X267" s="742"/>
      <c r="Y267" s="742"/>
      <c r="Z267" s="183">
        <f t="shared" ref="Z267:AV267" si="359">SUM(Z260:Z266)</f>
        <v>11858.91</v>
      </c>
      <c r="AA267" s="183">
        <f t="shared" si="359"/>
        <v>0</v>
      </c>
      <c r="AB267" s="183">
        <f t="shared" si="359"/>
        <v>51388.609999999993</v>
      </c>
      <c r="AC267" s="183">
        <f>SUM(AC260:AC266)</f>
        <v>43111.390000000007</v>
      </c>
      <c r="AD267" s="183">
        <f>SUM(AD260:AD266)</f>
        <v>94500</v>
      </c>
      <c r="AE267" s="183">
        <f t="shared" si="359"/>
        <v>94500</v>
      </c>
      <c r="AF267" s="183">
        <f t="shared" si="359"/>
        <v>43111.390000000007</v>
      </c>
      <c r="AG267" s="183">
        <f t="shared" si="359"/>
        <v>49700</v>
      </c>
      <c r="AH267" s="183">
        <f t="shared" si="359"/>
        <v>-425.49999999999955</v>
      </c>
      <c r="AI267" s="183">
        <f t="shared" si="359"/>
        <v>38977</v>
      </c>
      <c r="AJ267" s="183">
        <f t="shared" si="359"/>
        <v>0</v>
      </c>
      <c r="AK267" s="183">
        <f t="shared" si="359"/>
        <v>39529.699999999997</v>
      </c>
      <c r="AL267" s="183">
        <f t="shared" si="359"/>
        <v>0</v>
      </c>
      <c r="AM267" s="183">
        <f t="shared" si="359"/>
        <v>552.69999999999982</v>
      </c>
      <c r="AN267" s="183">
        <f t="shared" si="359"/>
        <v>0</v>
      </c>
      <c r="AO267" s="183">
        <f t="shared" si="359"/>
        <v>11858.91</v>
      </c>
      <c r="AP267" s="183">
        <f t="shared" si="359"/>
        <v>0</v>
      </c>
      <c r="AQ267" s="183">
        <f t="shared" si="359"/>
        <v>0</v>
      </c>
      <c r="AR267" s="183">
        <f t="shared" si="359"/>
        <v>0</v>
      </c>
      <c r="AS267" s="183">
        <f t="shared" si="359"/>
        <v>0</v>
      </c>
      <c r="AT267" s="183">
        <f t="shared" si="359"/>
        <v>39529.699999999997</v>
      </c>
      <c r="AU267" s="183">
        <f t="shared" si="359"/>
        <v>0</v>
      </c>
      <c r="AV267" s="183">
        <f t="shared" si="359"/>
        <v>0</v>
      </c>
      <c r="AW267" s="183">
        <f>SUM(AW260:AW266)</f>
        <v>39529.699999999997</v>
      </c>
      <c r="AX267" s="251"/>
      <c r="AY267" s="839"/>
      <c r="AZ267" s="838"/>
      <c r="BA267" s="839"/>
    </row>
    <row r="268" spans="2:53" s="76" customFormat="1">
      <c r="B268" s="703"/>
      <c r="C268" s="191" t="s">
        <v>1153</v>
      </c>
      <c r="D268" s="192"/>
      <c r="E268" s="193"/>
      <c r="F268" s="193"/>
      <c r="G268" s="193"/>
      <c r="H268" s="731"/>
      <c r="I268" s="193"/>
      <c r="J268" s="731"/>
      <c r="K268" s="193"/>
      <c r="L268" s="193"/>
      <c r="M268" s="731"/>
      <c r="N268" s="193"/>
      <c r="O268" s="731"/>
      <c r="P268" s="193"/>
      <c r="Q268" s="193"/>
      <c r="R268" s="193"/>
      <c r="S268" s="193"/>
      <c r="T268" s="193"/>
      <c r="U268" s="193"/>
      <c r="V268" s="732"/>
      <c r="W268" s="193"/>
      <c r="X268" s="732"/>
      <c r="Y268" s="732"/>
      <c r="Z268" s="193"/>
      <c r="AA268" s="193"/>
      <c r="AB268" s="193"/>
      <c r="AC268" s="195"/>
      <c r="AD268" s="195"/>
      <c r="AE268" s="195"/>
      <c r="AF268" s="195"/>
      <c r="AG268" s="195"/>
      <c r="AH268" s="195"/>
      <c r="AI268" s="203"/>
      <c r="AJ268" s="203"/>
      <c r="AK268" s="203"/>
      <c r="AL268" s="203"/>
      <c r="AM268" s="203"/>
      <c r="AN268" s="203"/>
      <c r="AO268" s="205"/>
      <c r="AP268" s="205"/>
      <c r="AQ268" s="205"/>
      <c r="AR268" s="205"/>
      <c r="AS268" s="205"/>
      <c r="AT268" s="209"/>
      <c r="AU268" s="209"/>
      <c r="AV268" s="203"/>
      <c r="AW268" s="251"/>
      <c r="AX268" s="251"/>
      <c r="AY268" s="839"/>
      <c r="AZ268" s="838"/>
      <c r="BA268" s="839"/>
    </row>
    <row r="269" spans="2:53" s="76" customFormat="1" ht="87.75">
      <c r="B269" s="703">
        <f>B266+1</f>
        <v>185</v>
      </c>
      <c r="C269" s="197" t="s">
        <v>1154</v>
      </c>
      <c r="D269" s="198" t="s">
        <v>190</v>
      </c>
      <c r="E269" s="703" t="s">
        <v>191</v>
      </c>
      <c r="F269" s="703">
        <v>9</v>
      </c>
      <c r="G269" s="199">
        <v>5527</v>
      </c>
      <c r="H269" s="736"/>
      <c r="I269" s="199"/>
      <c r="J269" s="736"/>
      <c r="K269" s="199"/>
      <c r="L269" s="199"/>
      <c r="M269" s="736"/>
      <c r="N269" s="199"/>
      <c r="O269" s="736"/>
      <c r="P269" s="199"/>
      <c r="Q269" s="199"/>
      <c r="R269" s="199">
        <f>G269+I269+K269+L269+N269+P269+Q269</f>
        <v>5527</v>
      </c>
      <c r="S269" s="199">
        <v>1</v>
      </c>
      <c r="T269" s="199"/>
      <c r="U269" s="199"/>
      <c r="V269" s="736"/>
      <c r="W269" s="199"/>
      <c r="X269" s="718">
        <v>14</v>
      </c>
      <c r="Y269" s="737">
        <v>0.2</v>
      </c>
      <c r="Z269" s="199">
        <f>R269*Y269</f>
        <v>1105.4000000000001</v>
      </c>
      <c r="AA269" s="199">
        <f>AH269</f>
        <v>467.59999999999991</v>
      </c>
      <c r="AB269" s="199">
        <f>(R269+Z269)*S269+AA269</f>
        <v>7100</v>
      </c>
      <c r="AC269" s="738">
        <f>AF269</f>
        <v>6400</v>
      </c>
      <c r="AD269" s="738">
        <f>AB269+AC269</f>
        <v>13500</v>
      </c>
      <c r="AE269" s="202">
        <f>13500*S269</f>
        <v>13500</v>
      </c>
      <c r="AF269" s="202">
        <f>AE269-AB269</f>
        <v>6400</v>
      </c>
      <c r="AG269" s="738">
        <f>7100*S269</f>
        <v>7100</v>
      </c>
      <c r="AH269" s="202">
        <f>AG269-(R269*S269)-Z269</f>
        <v>467.59999999999991</v>
      </c>
      <c r="AI269" s="203">
        <f>G269*S269</f>
        <v>5527</v>
      </c>
      <c r="AJ269" s="203">
        <f>G269*T269</f>
        <v>0</v>
      </c>
      <c r="AK269" s="203">
        <f>R269*S269</f>
        <v>5527</v>
      </c>
      <c r="AL269" s="203">
        <f>R269*T269</f>
        <v>0</v>
      </c>
      <c r="AM269" s="203">
        <f t="shared" ref="AM269:AN272" si="360">AK269-AI269</f>
        <v>0</v>
      </c>
      <c r="AN269" s="203">
        <f t="shared" si="360"/>
        <v>0</v>
      </c>
      <c r="AO269" s="205">
        <f>Z269*S269</f>
        <v>1105.4000000000001</v>
      </c>
      <c r="AP269" s="205">
        <f>Z269*T269</f>
        <v>0</v>
      </c>
      <c r="AQ269" s="205">
        <f>AA269</f>
        <v>467.59999999999991</v>
      </c>
      <c r="AR269" s="205">
        <f>W269*S269</f>
        <v>0</v>
      </c>
      <c r="AS269" s="205">
        <f>W269*T269</f>
        <v>0</v>
      </c>
      <c r="AT269" s="209">
        <f t="shared" si="288"/>
        <v>5527</v>
      </c>
      <c r="AU269" s="209">
        <f t="shared" si="288"/>
        <v>0</v>
      </c>
      <c r="AV269" s="203"/>
      <c r="AW269" s="251">
        <f>R269*S269</f>
        <v>5527</v>
      </c>
      <c r="AX269" s="251"/>
      <c r="AY269" s="838">
        <f>AW269</f>
        <v>5527</v>
      </c>
      <c r="AZ269" s="838"/>
      <c r="BA269" s="839"/>
    </row>
    <row r="270" spans="2:53" s="76" customFormat="1" ht="87.75">
      <c r="B270" s="703">
        <f t="shared" si="280"/>
        <v>186</v>
      </c>
      <c r="C270" s="197" t="s">
        <v>1154</v>
      </c>
      <c r="D270" s="198" t="s">
        <v>192</v>
      </c>
      <c r="E270" s="703" t="s">
        <v>1156</v>
      </c>
      <c r="F270" s="703">
        <v>10</v>
      </c>
      <c r="G270" s="199">
        <v>5815</v>
      </c>
      <c r="H270" s="736"/>
      <c r="I270" s="199"/>
      <c r="J270" s="736"/>
      <c r="K270" s="199"/>
      <c r="L270" s="199"/>
      <c r="M270" s="736"/>
      <c r="N270" s="199"/>
      <c r="O270" s="736"/>
      <c r="P270" s="199"/>
      <c r="Q270" s="199"/>
      <c r="R270" s="199">
        <f>G270+I270+K270+L270+N270+P270+Q270</f>
        <v>5815</v>
      </c>
      <c r="S270" s="199">
        <v>1</v>
      </c>
      <c r="T270" s="199"/>
      <c r="U270" s="199"/>
      <c r="V270" s="736"/>
      <c r="W270" s="199"/>
      <c r="X270" s="718">
        <v>38</v>
      </c>
      <c r="Y270" s="737">
        <v>0.3</v>
      </c>
      <c r="Z270" s="199">
        <f>R270*Y270</f>
        <v>1744.5</v>
      </c>
      <c r="AA270" s="199"/>
      <c r="AB270" s="199">
        <f>(R270+Z270)*S270</f>
        <v>7559.5</v>
      </c>
      <c r="AC270" s="738">
        <f>AF270</f>
        <v>5940.5</v>
      </c>
      <c r="AD270" s="738">
        <f>AB270+AC270</f>
        <v>13500</v>
      </c>
      <c r="AE270" s="202">
        <f>13500*S270</f>
        <v>13500</v>
      </c>
      <c r="AF270" s="202">
        <f>AE270-AB270</f>
        <v>5940.5</v>
      </c>
      <c r="AG270" s="738">
        <f>7100*S270</f>
        <v>7100</v>
      </c>
      <c r="AH270" s="202"/>
      <c r="AI270" s="203">
        <f>G270*S270</f>
        <v>5815</v>
      </c>
      <c r="AJ270" s="203">
        <f>G270*T270</f>
        <v>0</v>
      </c>
      <c r="AK270" s="203">
        <f>R270*S270</f>
        <v>5815</v>
      </c>
      <c r="AL270" s="203">
        <f>R270*T270</f>
        <v>0</v>
      </c>
      <c r="AM270" s="203">
        <f t="shared" si="360"/>
        <v>0</v>
      </c>
      <c r="AN270" s="203">
        <f t="shared" si="360"/>
        <v>0</v>
      </c>
      <c r="AO270" s="205">
        <f>Z270*S270</f>
        <v>1744.5</v>
      </c>
      <c r="AP270" s="205">
        <f>Z270*T270</f>
        <v>0</v>
      </c>
      <c r="AQ270" s="205">
        <f>AA270</f>
        <v>0</v>
      </c>
      <c r="AR270" s="205">
        <f>W270*S270</f>
        <v>0</v>
      </c>
      <c r="AS270" s="205">
        <f>W270*T270</f>
        <v>0</v>
      </c>
      <c r="AT270" s="209">
        <f t="shared" si="288"/>
        <v>5815</v>
      </c>
      <c r="AU270" s="209">
        <f t="shared" si="288"/>
        <v>0</v>
      </c>
      <c r="AV270" s="203"/>
      <c r="AW270" s="251">
        <f>R270*S270</f>
        <v>5815</v>
      </c>
      <c r="AX270" s="251"/>
      <c r="AY270" s="838">
        <f>AW270</f>
        <v>5815</v>
      </c>
      <c r="AZ270" s="838"/>
      <c r="BA270" s="839"/>
    </row>
    <row r="271" spans="2:53" s="76" customFormat="1" ht="87.75">
      <c r="B271" s="703">
        <f t="shared" si="280"/>
        <v>187</v>
      </c>
      <c r="C271" s="197" t="s">
        <v>1154</v>
      </c>
      <c r="D271" s="198" t="s">
        <v>1808</v>
      </c>
      <c r="E271" s="703" t="s">
        <v>1155</v>
      </c>
      <c r="F271" s="703">
        <v>10</v>
      </c>
      <c r="G271" s="199">
        <v>5815</v>
      </c>
      <c r="H271" s="736"/>
      <c r="I271" s="199"/>
      <c r="J271" s="736"/>
      <c r="K271" s="199"/>
      <c r="L271" s="199"/>
      <c r="M271" s="736"/>
      <c r="N271" s="199"/>
      <c r="O271" s="736"/>
      <c r="P271" s="199"/>
      <c r="Q271" s="206"/>
      <c r="R271" s="199">
        <f>G271+I271+K271+L271+N271+P271+Q271</f>
        <v>5815</v>
      </c>
      <c r="S271" s="199">
        <v>1</v>
      </c>
      <c r="T271" s="199"/>
      <c r="U271" s="206"/>
      <c r="V271" s="741"/>
      <c r="W271" s="206"/>
      <c r="X271" s="718">
        <v>32</v>
      </c>
      <c r="Y271" s="737">
        <v>0.3</v>
      </c>
      <c r="Z271" s="199">
        <f>R271*Y271</f>
        <v>1744.5</v>
      </c>
      <c r="AA271" s="199"/>
      <c r="AB271" s="199">
        <f>(R271+Z271)*S271</f>
        <v>7559.5</v>
      </c>
      <c r="AC271" s="738">
        <f>AF271</f>
        <v>5940.5</v>
      </c>
      <c r="AD271" s="738">
        <f>AB271+AC271</f>
        <v>13500</v>
      </c>
      <c r="AE271" s="202">
        <f>13500*S271</f>
        <v>13500</v>
      </c>
      <c r="AF271" s="202">
        <f>AE271-AB271</f>
        <v>5940.5</v>
      </c>
      <c r="AG271" s="738">
        <f>7100*S271</f>
        <v>7100</v>
      </c>
      <c r="AH271" s="202"/>
      <c r="AI271" s="203">
        <f>G271*S271</f>
        <v>5815</v>
      </c>
      <c r="AJ271" s="203">
        <f>G271*T271</f>
        <v>0</v>
      </c>
      <c r="AK271" s="203">
        <f>R271*S271</f>
        <v>5815</v>
      </c>
      <c r="AL271" s="203">
        <f>R271*T271</f>
        <v>0</v>
      </c>
      <c r="AM271" s="203">
        <f t="shared" si="360"/>
        <v>0</v>
      </c>
      <c r="AN271" s="203">
        <f t="shared" si="360"/>
        <v>0</v>
      </c>
      <c r="AO271" s="205">
        <f>Z271*S271</f>
        <v>1744.5</v>
      </c>
      <c r="AP271" s="205">
        <f>Z271*T271</f>
        <v>0</v>
      </c>
      <c r="AQ271" s="205">
        <f>AA271</f>
        <v>0</v>
      </c>
      <c r="AR271" s="205">
        <f>W271*S271</f>
        <v>0</v>
      </c>
      <c r="AS271" s="205">
        <f>W271*T271</f>
        <v>0</v>
      </c>
      <c r="AT271" s="209">
        <f t="shared" si="288"/>
        <v>5815</v>
      </c>
      <c r="AU271" s="209">
        <f t="shared" si="288"/>
        <v>0</v>
      </c>
      <c r="AV271" s="203"/>
      <c r="AW271" s="251">
        <f>R271*S271</f>
        <v>5815</v>
      </c>
      <c r="AX271" s="251"/>
      <c r="AY271" s="838">
        <f>AW271</f>
        <v>5815</v>
      </c>
      <c r="AZ271" s="838"/>
      <c r="BA271" s="839"/>
    </row>
    <row r="272" spans="2:53" s="76" customFormat="1" ht="63">
      <c r="B272" s="703">
        <f t="shared" si="280"/>
        <v>188</v>
      </c>
      <c r="C272" s="197" t="s">
        <v>1154</v>
      </c>
      <c r="D272" s="726" t="s">
        <v>1809</v>
      </c>
      <c r="E272" s="703" t="s">
        <v>1157</v>
      </c>
      <c r="F272" s="703">
        <v>10</v>
      </c>
      <c r="G272" s="199">
        <v>5815</v>
      </c>
      <c r="H272" s="736"/>
      <c r="I272" s="199"/>
      <c r="J272" s="737"/>
      <c r="K272" s="201"/>
      <c r="L272" s="201"/>
      <c r="M272" s="736"/>
      <c r="N272" s="199"/>
      <c r="O272" s="736"/>
      <c r="P272" s="199"/>
      <c r="Q272" s="206"/>
      <c r="R272" s="199">
        <f>G272+I272+K272+L272+N272+P272+Q272</f>
        <v>5815</v>
      </c>
      <c r="S272" s="199">
        <v>1</v>
      </c>
      <c r="T272" s="199"/>
      <c r="U272" s="206"/>
      <c r="V272" s="741"/>
      <c r="W272" s="206"/>
      <c r="X272" s="718">
        <v>28</v>
      </c>
      <c r="Y272" s="737">
        <v>0.3</v>
      </c>
      <c r="Z272" s="199">
        <f>R272*Y272</f>
        <v>1744.5</v>
      </c>
      <c r="AA272" s="199"/>
      <c r="AB272" s="199">
        <f>(R272+Z272)*S272</f>
        <v>7559.5</v>
      </c>
      <c r="AC272" s="738">
        <f>AF272</f>
        <v>5940.5</v>
      </c>
      <c r="AD272" s="738">
        <f>AB272+AC272</f>
        <v>13500</v>
      </c>
      <c r="AE272" s="202">
        <f>13500*S272</f>
        <v>13500</v>
      </c>
      <c r="AF272" s="202">
        <f>AE272-AB272</f>
        <v>5940.5</v>
      </c>
      <c r="AG272" s="738">
        <f>7100*S272</f>
        <v>7100</v>
      </c>
      <c r="AH272" s="202"/>
      <c r="AI272" s="203">
        <f>G272*S272</f>
        <v>5815</v>
      </c>
      <c r="AJ272" s="203">
        <f>G272*T272</f>
        <v>0</v>
      </c>
      <c r="AK272" s="203">
        <f>R272*S272</f>
        <v>5815</v>
      </c>
      <c r="AL272" s="203">
        <f>R272*T272</f>
        <v>0</v>
      </c>
      <c r="AM272" s="203">
        <f t="shared" si="360"/>
        <v>0</v>
      </c>
      <c r="AN272" s="203">
        <f t="shared" si="360"/>
        <v>0</v>
      </c>
      <c r="AO272" s="205">
        <f>Z272*S272</f>
        <v>1744.5</v>
      </c>
      <c r="AP272" s="205">
        <f>Z272*T272</f>
        <v>0</v>
      </c>
      <c r="AQ272" s="205">
        <f>AA272</f>
        <v>0</v>
      </c>
      <c r="AR272" s="205">
        <f>W272*S272</f>
        <v>0</v>
      </c>
      <c r="AS272" s="205">
        <f>W272*T272</f>
        <v>0</v>
      </c>
      <c r="AT272" s="209">
        <f t="shared" si="288"/>
        <v>5815</v>
      </c>
      <c r="AU272" s="209">
        <f t="shared" si="288"/>
        <v>0</v>
      </c>
      <c r="AV272" s="203"/>
      <c r="AW272" s="251">
        <f>R272*S272</f>
        <v>5815</v>
      </c>
      <c r="AX272" s="251"/>
      <c r="AY272" s="838">
        <f>AW272</f>
        <v>5815</v>
      </c>
      <c r="AZ272" s="838"/>
      <c r="BA272" s="839"/>
    </row>
    <row r="273" spans="2:53" s="76" customFormat="1">
      <c r="B273" s="703"/>
      <c r="C273" s="180" t="s">
        <v>1736</v>
      </c>
      <c r="D273" s="207"/>
      <c r="E273" s="193"/>
      <c r="F273" s="193"/>
      <c r="G273" s="183">
        <f>SUM(G269:G272)</f>
        <v>22972</v>
      </c>
      <c r="H273" s="731"/>
      <c r="I273" s="193"/>
      <c r="J273" s="731"/>
      <c r="K273" s="193"/>
      <c r="L273" s="193"/>
      <c r="M273" s="731"/>
      <c r="N273" s="193"/>
      <c r="O273" s="731"/>
      <c r="P273" s="193"/>
      <c r="Q273" s="193"/>
      <c r="R273" s="183">
        <f>SUM(R269:R272)</f>
        <v>22972</v>
      </c>
      <c r="S273" s="183">
        <f>SUM(S269:S272)</f>
        <v>4</v>
      </c>
      <c r="T273" s="183">
        <f>SUM(T269:T272)</f>
        <v>0</v>
      </c>
      <c r="U273" s="183"/>
      <c r="V273" s="742"/>
      <c r="W273" s="183"/>
      <c r="X273" s="742"/>
      <c r="Y273" s="742"/>
      <c r="Z273" s="183">
        <f t="shared" ref="Z273:AV273" si="361">SUM(Z269:Z272)</f>
        <v>6338.9</v>
      </c>
      <c r="AA273" s="183">
        <f t="shared" si="361"/>
        <v>467.59999999999991</v>
      </c>
      <c r="AB273" s="183">
        <f t="shared" si="361"/>
        <v>29778.5</v>
      </c>
      <c r="AC273" s="183">
        <f>SUM(AC269:AC272)</f>
        <v>24221.5</v>
      </c>
      <c r="AD273" s="183">
        <f>SUM(AD269:AD272)</f>
        <v>54000</v>
      </c>
      <c r="AE273" s="183">
        <f t="shared" si="361"/>
        <v>54000</v>
      </c>
      <c r="AF273" s="183">
        <f t="shared" si="361"/>
        <v>24221.5</v>
      </c>
      <c r="AG273" s="183">
        <f t="shared" si="361"/>
        <v>28400</v>
      </c>
      <c r="AH273" s="183">
        <f t="shared" si="361"/>
        <v>467.59999999999991</v>
      </c>
      <c r="AI273" s="183">
        <f t="shared" si="361"/>
        <v>22972</v>
      </c>
      <c r="AJ273" s="183">
        <f t="shared" si="361"/>
        <v>0</v>
      </c>
      <c r="AK273" s="183">
        <f t="shared" si="361"/>
        <v>22972</v>
      </c>
      <c r="AL273" s="183">
        <f t="shared" si="361"/>
        <v>0</v>
      </c>
      <c r="AM273" s="183">
        <f t="shared" si="361"/>
        <v>0</v>
      </c>
      <c r="AN273" s="183">
        <f t="shared" si="361"/>
        <v>0</v>
      </c>
      <c r="AO273" s="183">
        <f t="shared" si="361"/>
        <v>6338.9</v>
      </c>
      <c r="AP273" s="183">
        <f t="shared" si="361"/>
        <v>0</v>
      </c>
      <c r="AQ273" s="183">
        <f t="shared" si="361"/>
        <v>467.59999999999991</v>
      </c>
      <c r="AR273" s="183">
        <f t="shared" si="361"/>
        <v>0</v>
      </c>
      <c r="AS273" s="183">
        <f t="shared" si="361"/>
        <v>0</v>
      </c>
      <c r="AT273" s="183">
        <f t="shared" si="361"/>
        <v>22972</v>
      </c>
      <c r="AU273" s="183">
        <f t="shared" si="361"/>
        <v>0</v>
      </c>
      <c r="AV273" s="183">
        <f t="shared" si="361"/>
        <v>0</v>
      </c>
      <c r="AW273" s="183">
        <f>SUM(AW269:AW272)</f>
        <v>22972</v>
      </c>
      <c r="AX273" s="251"/>
      <c r="AY273" s="839"/>
      <c r="AZ273" s="838"/>
      <c r="BA273" s="839"/>
    </row>
    <row r="274" spans="2:53" s="76" customFormat="1">
      <c r="B274" s="703"/>
      <c r="C274" s="220" t="s">
        <v>1874</v>
      </c>
      <c r="D274" s="207"/>
      <c r="E274" s="193"/>
      <c r="F274" s="193"/>
      <c r="G274" s="183"/>
      <c r="H274" s="752"/>
      <c r="I274" s="183"/>
      <c r="J274" s="731"/>
      <c r="K274" s="193"/>
      <c r="L274" s="193"/>
      <c r="M274" s="731"/>
      <c r="N274" s="193"/>
      <c r="O274" s="731"/>
      <c r="P274" s="193"/>
      <c r="Q274" s="193"/>
      <c r="R274" s="183"/>
      <c r="S274" s="183"/>
      <c r="T274" s="183"/>
      <c r="U274" s="183"/>
      <c r="V274" s="742"/>
      <c r="W274" s="183"/>
      <c r="X274" s="742"/>
      <c r="Y274" s="742"/>
      <c r="Z274" s="183"/>
      <c r="AA274" s="183"/>
      <c r="AB274" s="183"/>
      <c r="AC274" s="208"/>
      <c r="AD274" s="208"/>
      <c r="AE274" s="208"/>
      <c r="AF274" s="208"/>
      <c r="AG274" s="208"/>
      <c r="AH274" s="208"/>
      <c r="AI274" s="203"/>
      <c r="AJ274" s="203"/>
      <c r="AK274" s="203"/>
      <c r="AL274" s="203"/>
      <c r="AM274" s="203"/>
      <c r="AN274" s="203"/>
      <c r="AO274" s="205"/>
      <c r="AP274" s="205"/>
      <c r="AQ274" s="205"/>
      <c r="AR274" s="205"/>
      <c r="AS274" s="205"/>
      <c r="AT274" s="209"/>
      <c r="AU274" s="209"/>
      <c r="AV274" s="203"/>
      <c r="AW274" s="251"/>
      <c r="AX274" s="251"/>
      <c r="AY274" s="839"/>
      <c r="AZ274" s="838"/>
      <c r="BA274" s="839"/>
    </row>
    <row r="275" spans="2:53" s="76" customFormat="1" ht="94.5">
      <c r="B275" s="703">
        <f>B272+1</f>
        <v>189</v>
      </c>
      <c r="C275" s="197" t="s">
        <v>1188</v>
      </c>
      <c r="D275" s="198"/>
      <c r="E275" s="703" t="s">
        <v>1193</v>
      </c>
      <c r="F275" s="703">
        <v>3</v>
      </c>
      <c r="G275" s="199">
        <v>3770</v>
      </c>
      <c r="H275" s="736"/>
      <c r="I275" s="199"/>
      <c r="J275" s="741"/>
      <c r="K275" s="206"/>
      <c r="L275" s="206"/>
      <c r="M275" s="741"/>
      <c r="N275" s="206"/>
      <c r="O275" s="741"/>
      <c r="P275" s="206"/>
      <c r="Q275" s="206"/>
      <c r="R275" s="199">
        <f t="shared" ref="R275:R280" si="362">G275+I275+K275+L275+N275+P275+Q275</f>
        <v>3770</v>
      </c>
      <c r="S275" s="199">
        <v>1</v>
      </c>
      <c r="T275" s="206"/>
      <c r="U275" s="206"/>
      <c r="V275" s="737">
        <v>0.1</v>
      </c>
      <c r="W275" s="199">
        <f t="shared" ref="W275:W280" si="363">R275*V275</f>
        <v>377</v>
      </c>
      <c r="X275" s="718"/>
      <c r="Y275" s="737"/>
      <c r="Z275" s="199"/>
      <c r="AA275" s="199">
        <f t="shared" ref="AA275:AA280" si="364">AH275</f>
        <v>3330</v>
      </c>
      <c r="AB275" s="199">
        <f t="shared" ref="AB275:AB280" si="365">(R275+Z275+U275+W275)*S275+AA275</f>
        <v>7477</v>
      </c>
      <c r="AC275" s="738">
        <f t="shared" ref="AC275:AC280" si="366">AF275</f>
        <v>0</v>
      </c>
      <c r="AD275" s="738">
        <f t="shared" ref="AD275:AD280" si="367">AB275+AC275</f>
        <v>7477</v>
      </c>
      <c r="AE275" s="202">
        <f t="shared" ref="AE275:AE280" si="368">AB275</f>
        <v>7477</v>
      </c>
      <c r="AF275" s="202">
        <f t="shared" ref="AF275:AF280" si="369">AE275-AB275</f>
        <v>0</v>
      </c>
      <c r="AG275" s="738">
        <f t="shared" ref="AG275:AG280" si="370">7100*S275</f>
        <v>7100</v>
      </c>
      <c r="AH275" s="202">
        <f t="shared" ref="AH275:AH280" si="371">AG275-(R275*S275)</f>
        <v>3330</v>
      </c>
      <c r="AI275" s="203">
        <f t="shared" ref="AI275:AI280" si="372">G275*S275</f>
        <v>3770</v>
      </c>
      <c r="AJ275" s="203">
        <f t="shared" ref="AJ275:AJ280" si="373">G275*T275</f>
        <v>0</v>
      </c>
      <c r="AK275" s="203">
        <f t="shared" ref="AK275:AK280" si="374">R275*S275</f>
        <v>3770</v>
      </c>
      <c r="AL275" s="203">
        <f t="shared" ref="AL275:AL280" si="375">R275*T275</f>
        <v>0</v>
      </c>
      <c r="AM275" s="203">
        <f t="shared" ref="AM275:AN280" si="376">AK275-AI275</f>
        <v>0</v>
      </c>
      <c r="AN275" s="203">
        <f t="shared" si="376"/>
        <v>0</v>
      </c>
      <c r="AO275" s="205">
        <f t="shared" ref="AO275:AO280" si="377">Z275*S275</f>
        <v>0</v>
      </c>
      <c r="AP275" s="205">
        <f t="shared" ref="AP275:AP280" si="378">Z275*T275</f>
        <v>0</v>
      </c>
      <c r="AQ275" s="205">
        <f t="shared" ref="AQ275:AQ280" si="379">AA275</f>
        <v>3330</v>
      </c>
      <c r="AR275" s="205">
        <f t="shared" ref="AR275:AR280" si="380">W275*S275</f>
        <v>377</v>
      </c>
      <c r="AS275" s="205">
        <f t="shared" ref="AS275:AS280" si="381">W275*T275</f>
        <v>0</v>
      </c>
      <c r="AT275" s="209">
        <f t="shared" si="288"/>
        <v>3770</v>
      </c>
      <c r="AU275" s="209">
        <f t="shared" si="288"/>
        <v>0</v>
      </c>
      <c r="AV275" s="203"/>
      <c r="AW275" s="251">
        <f t="shared" ref="AW275:AW280" si="382">R275*S275</f>
        <v>3770</v>
      </c>
      <c r="AX275" s="251"/>
      <c r="AY275" s="838">
        <f t="shared" ref="AY275:AY280" si="383">AW275</f>
        <v>3770</v>
      </c>
      <c r="AZ275" s="838"/>
      <c r="BA275" s="839"/>
    </row>
    <row r="276" spans="2:53" s="76" customFormat="1" ht="94.5">
      <c r="B276" s="703">
        <f t="shared" ref="B276:B340" si="384">1+B275</f>
        <v>190</v>
      </c>
      <c r="C276" s="197" t="s">
        <v>1188</v>
      </c>
      <c r="D276" s="198"/>
      <c r="E276" s="703" t="s">
        <v>1196</v>
      </c>
      <c r="F276" s="703">
        <v>3</v>
      </c>
      <c r="G276" s="199">
        <v>3770</v>
      </c>
      <c r="H276" s="736"/>
      <c r="I276" s="199"/>
      <c r="J276" s="736"/>
      <c r="K276" s="199"/>
      <c r="L276" s="199"/>
      <c r="M276" s="736"/>
      <c r="N276" s="199"/>
      <c r="O276" s="736"/>
      <c r="P276" s="199"/>
      <c r="Q276" s="199"/>
      <c r="R276" s="199">
        <f t="shared" si="362"/>
        <v>3770</v>
      </c>
      <c r="S276" s="199">
        <v>1</v>
      </c>
      <c r="T276" s="206"/>
      <c r="U276" s="206"/>
      <c r="V276" s="737">
        <v>0.1</v>
      </c>
      <c r="W276" s="199">
        <f t="shared" si="363"/>
        <v>377</v>
      </c>
      <c r="X276" s="718"/>
      <c r="Y276" s="737"/>
      <c r="Z276" s="199"/>
      <c r="AA276" s="199">
        <f t="shared" si="364"/>
        <v>3330</v>
      </c>
      <c r="AB276" s="199">
        <f t="shared" si="365"/>
        <v>7477</v>
      </c>
      <c r="AC276" s="738">
        <f t="shared" si="366"/>
        <v>0</v>
      </c>
      <c r="AD276" s="738">
        <f t="shared" si="367"/>
        <v>7477</v>
      </c>
      <c r="AE276" s="202">
        <f t="shared" si="368"/>
        <v>7477</v>
      </c>
      <c r="AF276" s="202">
        <f t="shared" si="369"/>
        <v>0</v>
      </c>
      <c r="AG276" s="738">
        <f t="shared" si="370"/>
        <v>7100</v>
      </c>
      <c r="AH276" s="202">
        <f t="shared" si="371"/>
        <v>3330</v>
      </c>
      <c r="AI276" s="203">
        <f t="shared" si="372"/>
        <v>3770</v>
      </c>
      <c r="AJ276" s="203">
        <f t="shared" si="373"/>
        <v>0</v>
      </c>
      <c r="AK276" s="203">
        <f t="shared" si="374"/>
        <v>3770</v>
      </c>
      <c r="AL276" s="203">
        <f t="shared" si="375"/>
        <v>0</v>
      </c>
      <c r="AM276" s="203">
        <f t="shared" si="376"/>
        <v>0</v>
      </c>
      <c r="AN276" s="203">
        <f t="shared" si="376"/>
        <v>0</v>
      </c>
      <c r="AO276" s="205">
        <f t="shared" si="377"/>
        <v>0</v>
      </c>
      <c r="AP276" s="205">
        <f t="shared" si="378"/>
        <v>0</v>
      </c>
      <c r="AQ276" s="205">
        <f t="shared" si="379"/>
        <v>3330</v>
      </c>
      <c r="AR276" s="205">
        <f t="shared" si="380"/>
        <v>377</v>
      </c>
      <c r="AS276" s="205">
        <f t="shared" si="381"/>
        <v>0</v>
      </c>
      <c r="AT276" s="209">
        <f t="shared" si="288"/>
        <v>3770</v>
      </c>
      <c r="AU276" s="209">
        <f t="shared" si="288"/>
        <v>0</v>
      </c>
      <c r="AV276" s="203"/>
      <c r="AW276" s="251">
        <f t="shared" si="382"/>
        <v>3770</v>
      </c>
      <c r="AX276" s="251"/>
      <c r="AY276" s="838">
        <f t="shared" si="383"/>
        <v>3770</v>
      </c>
      <c r="AZ276" s="838"/>
      <c r="BA276" s="839"/>
    </row>
    <row r="277" spans="2:53" s="76" customFormat="1" ht="94.5">
      <c r="B277" s="703">
        <f t="shared" si="384"/>
        <v>191</v>
      </c>
      <c r="C277" s="197" t="s">
        <v>1188</v>
      </c>
      <c r="D277" s="198"/>
      <c r="E277" s="703" t="s">
        <v>1197</v>
      </c>
      <c r="F277" s="703">
        <v>3</v>
      </c>
      <c r="G277" s="199">
        <v>3770</v>
      </c>
      <c r="H277" s="736"/>
      <c r="I277" s="199"/>
      <c r="J277" s="736"/>
      <c r="K277" s="199"/>
      <c r="L277" s="199"/>
      <c r="M277" s="736"/>
      <c r="N277" s="199"/>
      <c r="O277" s="736"/>
      <c r="P277" s="199"/>
      <c r="Q277" s="199"/>
      <c r="R277" s="199">
        <f t="shared" si="362"/>
        <v>3770</v>
      </c>
      <c r="S277" s="199">
        <v>1</v>
      </c>
      <c r="T277" s="199"/>
      <c r="U277" s="199"/>
      <c r="V277" s="737">
        <v>0.1</v>
      </c>
      <c r="W277" s="199">
        <f t="shared" si="363"/>
        <v>377</v>
      </c>
      <c r="X277" s="718"/>
      <c r="Y277" s="737"/>
      <c r="Z277" s="199"/>
      <c r="AA277" s="199">
        <f t="shared" si="364"/>
        <v>3330</v>
      </c>
      <c r="AB277" s="199">
        <f t="shared" si="365"/>
        <v>7477</v>
      </c>
      <c r="AC277" s="738">
        <f t="shared" si="366"/>
        <v>0</v>
      </c>
      <c r="AD277" s="738">
        <f t="shared" si="367"/>
        <v>7477</v>
      </c>
      <c r="AE277" s="202">
        <f t="shared" si="368"/>
        <v>7477</v>
      </c>
      <c r="AF277" s="202">
        <f t="shared" si="369"/>
        <v>0</v>
      </c>
      <c r="AG277" s="738">
        <f t="shared" si="370"/>
        <v>7100</v>
      </c>
      <c r="AH277" s="202">
        <f t="shared" si="371"/>
        <v>3330</v>
      </c>
      <c r="AI277" s="203">
        <f t="shared" si="372"/>
        <v>3770</v>
      </c>
      <c r="AJ277" s="203">
        <f t="shared" si="373"/>
        <v>0</v>
      </c>
      <c r="AK277" s="203">
        <f t="shared" si="374"/>
        <v>3770</v>
      </c>
      <c r="AL277" s="203">
        <f t="shared" si="375"/>
        <v>0</v>
      </c>
      <c r="AM277" s="203">
        <f t="shared" si="376"/>
        <v>0</v>
      </c>
      <c r="AN277" s="203">
        <f t="shared" si="376"/>
        <v>0</v>
      </c>
      <c r="AO277" s="205">
        <f t="shared" si="377"/>
        <v>0</v>
      </c>
      <c r="AP277" s="205">
        <f t="shared" si="378"/>
        <v>0</v>
      </c>
      <c r="AQ277" s="205">
        <f t="shared" si="379"/>
        <v>3330</v>
      </c>
      <c r="AR277" s="205">
        <f t="shared" si="380"/>
        <v>377</v>
      </c>
      <c r="AS277" s="205">
        <f t="shared" si="381"/>
        <v>0</v>
      </c>
      <c r="AT277" s="209">
        <f t="shared" si="288"/>
        <v>3770</v>
      </c>
      <c r="AU277" s="209">
        <f t="shared" si="288"/>
        <v>0</v>
      </c>
      <c r="AV277" s="203"/>
      <c r="AW277" s="251">
        <f>R277*S277</f>
        <v>3770</v>
      </c>
      <c r="AX277" s="251"/>
      <c r="AY277" s="838">
        <f>AW277</f>
        <v>3770</v>
      </c>
      <c r="AZ277" s="838"/>
      <c r="BA277" s="839"/>
    </row>
    <row r="278" spans="2:53" s="887" customFormat="1" ht="94.5">
      <c r="B278" s="703">
        <f t="shared" si="384"/>
        <v>192</v>
      </c>
      <c r="C278" s="197" t="s">
        <v>1188</v>
      </c>
      <c r="D278" s="198"/>
      <c r="E278" s="703" t="s">
        <v>275</v>
      </c>
      <c r="F278" s="703">
        <v>3</v>
      </c>
      <c r="G278" s="199">
        <v>3770</v>
      </c>
      <c r="H278" s="736"/>
      <c r="I278" s="199"/>
      <c r="J278" s="736"/>
      <c r="K278" s="199"/>
      <c r="L278" s="199"/>
      <c r="M278" s="736"/>
      <c r="N278" s="199"/>
      <c r="O278" s="736"/>
      <c r="P278" s="199"/>
      <c r="Q278" s="199"/>
      <c r="R278" s="199">
        <f t="shared" si="362"/>
        <v>3770</v>
      </c>
      <c r="S278" s="199">
        <v>1</v>
      </c>
      <c r="T278" s="199"/>
      <c r="U278" s="199"/>
      <c r="V278" s="737">
        <v>0.1</v>
      </c>
      <c r="W278" s="199">
        <f t="shared" si="363"/>
        <v>377</v>
      </c>
      <c r="X278" s="718"/>
      <c r="Y278" s="737"/>
      <c r="Z278" s="199"/>
      <c r="AA278" s="199">
        <f t="shared" si="364"/>
        <v>3330</v>
      </c>
      <c r="AB278" s="199">
        <f t="shared" si="365"/>
        <v>7477</v>
      </c>
      <c r="AC278" s="888">
        <f t="shared" si="366"/>
        <v>0</v>
      </c>
      <c r="AD278" s="888">
        <f t="shared" si="367"/>
        <v>7477</v>
      </c>
      <c r="AE278" s="744">
        <f t="shared" si="368"/>
        <v>7477</v>
      </c>
      <c r="AF278" s="744">
        <f t="shared" si="369"/>
        <v>0</v>
      </c>
      <c r="AG278" s="888">
        <f t="shared" si="370"/>
        <v>7100</v>
      </c>
      <c r="AH278" s="744">
        <f t="shared" si="371"/>
        <v>3330</v>
      </c>
      <c r="AI278" s="889">
        <f>G278*S278</f>
        <v>3770</v>
      </c>
      <c r="AJ278" s="889">
        <f t="shared" si="373"/>
        <v>0</v>
      </c>
      <c r="AK278" s="889">
        <f t="shared" si="374"/>
        <v>3770</v>
      </c>
      <c r="AL278" s="889">
        <f t="shared" si="375"/>
        <v>0</v>
      </c>
      <c r="AM278" s="889">
        <f t="shared" si="376"/>
        <v>0</v>
      </c>
      <c r="AN278" s="889">
        <f t="shared" si="376"/>
        <v>0</v>
      </c>
      <c r="AO278" s="890">
        <f t="shared" si="377"/>
        <v>0</v>
      </c>
      <c r="AP278" s="890">
        <f t="shared" si="378"/>
        <v>0</v>
      </c>
      <c r="AQ278" s="890">
        <f t="shared" si="379"/>
        <v>3330</v>
      </c>
      <c r="AR278" s="890">
        <f t="shared" si="380"/>
        <v>377</v>
      </c>
      <c r="AS278" s="890">
        <f t="shared" si="381"/>
        <v>0</v>
      </c>
      <c r="AT278" s="891">
        <f t="shared" si="288"/>
        <v>3770</v>
      </c>
      <c r="AU278" s="891">
        <f t="shared" si="288"/>
        <v>0</v>
      </c>
      <c r="AV278" s="889"/>
      <c r="AW278" s="892">
        <f>R278*S278</f>
        <v>3770</v>
      </c>
      <c r="AX278" s="892"/>
      <c r="AY278" s="893">
        <f>AW278</f>
        <v>3770</v>
      </c>
      <c r="AZ278" s="893"/>
      <c r="BA278" s="894"/>
    </row>
    <row r="279" spans="2:53" s="76" customFormat="1" ht="94.5">
      <c r="B279" s="703">
        <f>B278+1</f>
        <v>193</v>
      </c>
      <c r="C279" s="197" t="s">
        <v>1188</v>
      </c>
      <c r="D279" s="198"/>
      <c r="E279" s="703" t="s">
        <v>1198</v>
      </c>
      <c r="F279" s="703">
        <v>3</v>
      </c>
      <c r="G279" s="199">
        <v>3770</v>
      </c>
      <c r="H279" s="736"/>
      <c r="I279" s="199"/>
      <c r="J279" s="736"/>
      <c r="K279" s="199"/>
      <c r="L279" s="199"/>
      <c r="M279" s="736"/>
      <c r="N279" s="199"/>
      <c r="O279" s="736"/>
      <c r="P279" s="199"/>
      <c r="Q279" s="199"/>
      <c r="R279" s="199">
        <f t="shared" si="362"/>
        <v>3770</v>
      </c>
      <c r="S279" s="199">
        <v>1</v>
      </c>
      <c r="T279" s="199"/>
      <c r="U279" s="199"/>
      <c r="V279" s="737">
        <v>0.1</v>
      </c>
      <c r="W279" s="199">
        <f t="shared" si="363"/>
        <v>377</v>
      </c>
      <c r="X279" s="718"/>
      <c r="Y279" s="737"/>
      <c r="Z279" s="199"/>
      <c r="AA279" s="199">
        <f t="shared" si="364"/>
        <v>3330</v>
      </c>
      <c r="AB279" s="199">
        <f t="shared" si="365"/>
        <v>7477</v>
      </c>
      <c r="AC279" s="738">
        <f t="shared" si="366"/>
        <v>0</v>
      </c>
      <c r="AD279" s="738">
        <f t="shared" si="367"/>
        <v>7477</v>
      </c>
      <c r="AE279" s="202">
        <f t="shared" si="368"/>
        <v>7477</v>
      </c>
      <c r="AF279" s="202">
        <f t="shared" si="369"/>
        <v>0</v>
      </c>
      <c r="AG279" s="738">
        <f t="shared" si="370"/>
        <v>7100</v>
      </c>
      <c r="AH279" s="202">
        <f t="shared" si="371"/>
        <v>3330</v>
      </c>
      <c r="AI279" s="203">
        <f t="shared" si="372"/>
        <v>3770</v>
      </c>
      <c r="AJ279" s="203">
        <f t="shared" si="373"/>
        <v>0</v>
      </c>
      <c r="AK279" s="203">
        <f t="shared" si="374"/>
        <v>3770</v>
      </c>
      <c r="AL279" s="203">
        <f t="shared" si="375"/>
        <v>0</v>
      </c>
      <c r="AM279" s="203">
        <f t="shared" si="376"/>
        <v>0</v>
      </c>
      <c r="AN279" s="203">
        <f t="shared" si="376"/>
        <v>0</v>
      </c>
      <c r="AO279" s="205">
        <f t="shared" si="377"/>
        <v>0</v>
      </c>
      <c r="AP279" s="205">
        <f t="shared" si="378"/>
        <v>0</v>
      </c>
      <c r="AQ279" s="205">
        <f t="shared" si="379"/>
        <v>3330</v>
      </c>
      <c r="AR279" s="205">
        <f t="shared" si="380"/>
        <v>377</v>
      </c>
      <c r="AS279" s="205">
        <f t="shared" si="381"/>
        <v>0</v>
      </c>
      <c r="AT279" s="209">
        <f t="shared" si="288"/>
        <v>3770</v>
      </c>
      <c r="AU279" s="209">
        <f t="shared" si="288"/>
        <v>0</v>
      </c>
      <c r="AV279" s="203"/>
      <c r="AW279" s="251">
        <f t="shared" si="382"/>
        <v>3770</v>
      </c>
      <c r="AX279" s="251"/>
      <c r="AY279" s="838">
        <f t="shared" si="383"/>
        <v>3770</v>
      </c>
      <c r="AZ279" s="838"/>
      <c r="BA279" s="839"/>
    </row>
    <row r="280" spans="2:53" s="76" customFormat="1" ht="94.5">
      <c r="B280" s="703">
        <f t="shared" si="384"/>
        <v>194</v>
      </c>
      <c r="C280" s="197" t="s">
        <v>1188</v>
      </c>
      <c r="D280" s="198"/>
      <c r="E280" s="703" t="s">
        <v>1201</v>
      </c>
      <c r="F280" s="703">
        <v>3</v>
      </c>
      <c r="G280" s="199">
        <v>3770</v>
      </c>
      <c r="H280" s="736"/>
      <c r="I280" s="199"/>
      <c r="J280" s="736"/>
      <c r="K280" s="199"/>
      <c r="L280" s="199"/>
      <c r="M280" s="736"/>
      <c r="N280" s="199"/>
      <c r="O280" s="736"/>
      <c r="P280" s="199"/>
      <c r="Q280" s="199"/>
      <c r="R280" s="199">
        <f t="shared" si="362"/>
        <v>3770</v>
      </c>
      <c r="S280" s="199">
        <v>1</v>
      </c>
      <c r="T280" s="199"/>
      <c r="U280" s="199"/>
      <c r="V280" s="737">
        <v>0.1</v>
      </c>
      <c r="W280" s="199">
        <f t="shared" si="363"/>
        <v>377</v>
      </c>
      <c r="X280" s="718"/>
      <c r="Y280" s="737"/>
      <c r="Z280" s="199"/>
      <c r="AA280" s="199">
        <f t="shared" si="364"/>
        <v>3330</v>
      </c>
      <c r="AB280" s="199">
        <f t="shared" si="365"/>
        <v>7477</v>
      </c>
      <c r="AC280" s="738">
        <f t="shared" si="366"/>
        <v>0</v>
      </c>
      <c r="AD280" s="738">
        <f t="shared" si="367"/>
        <v>7477</v>
      </c>
      <c r="AE280" s="202">
        <f t="shared" si="368"/>
        <v>7477</v>
      </c>
      <c r="AF280" s="202">
        <f t="shared" si="369"/>
        <v>0</v>
      </c>
      <c r="AG280" s="738">
        <f t="shared" si="370"/>
        <v>7100</v>
      </c>
      <c r="AH280" s="202">
        <f t="shared" si="371"/>
        <v>3330</v>
      </c>
      <c r="AI280" s="203">
        <f t="shared" si="372"/>
        <v>3770</v>
      </c>
      <c r="AJ280" s="203">
        <f t="shared" si="373"/>
        <v>0</v>
      </c>
      <c r="AK280" s="203">
        <f t="shared" si="374"/>
        <v>3770</v>
      </c>
      <c r="AL280" s="203">
        <f t="shared" si="375"/>
        <v>0</v>
      </c>
      <c r="AM280" s="203">
        <f t="shared" si="376"/>
        <v>0</v>
      </c>
      <c r="AN280" s="203">
        <f t="shared" si="376"/>
        <v>0</v>
      </c>
      <c r="AO280" s="205">
        <f t="shared" si="377"/>
        <v>0</v>
      </c>
      <c r="AP280" s="205">
        <f t="shared" si="378"/>
        <v>0</v>
      </c>
      <c r="AQ280" s="205">
        <f t="shared" si="379"/>
        <v>3330</v>
      </c>
      <c r="AR280" s="205">
        <f t="shared" si="380"/>
        <v>377</v>
      </c>
      <c r="AS280" s="205">
        <f t="shared" si="381"/>
        <v>0</v>
      </c>
      <c r="AT280" s="209">
        <f t="shared" si="288"/>
        <v>3770</v>
      </c>
      <c r="AU280" s="209">
        <f t="shared" si="288"/>
        <v>0</v>
      </c>
      <c r="AV280" s="203"/>
      <c r="AW280" s="251">
        <f t="shared" si="382"/>
        <v>3770</v>
      </c>
      <c r="AX280" s="251"/>
      <c r="AY280" s="838">
        <f t="shared" si="383"/>
        <v>3770</v>
      </c>
      <c r="AZ280" s="838"/>
      <c r="BA280" s="839"/>
    </row>
    <row r="281" spans="2:53" s="76" customFormat="1">
      <c r="B281" s="703"/>
      <c r="C281" s="180" t="s">
        <v>1736</v>
      </c>
      <c r="D281" s="207"/>
      <c r="E281" s="193"/>
      <c r="F281" s="193"/>
      <c r="G281" s="183">
        <f>SUM(G275:G280)</f>
        <v>22620</v>
      </c>
      <c r="H281" s="731"/>
      <c r="I281" s="193"/>
      <c r="J281" s="731"/>
      <c r="K281" s="193"/>
      <c r="L281" s="193"/>
      <c r="M281" s="731"/>
      <c r="N281" s="193"/>
      <c r="O281" s="731"/>
      <c r="P281" s="193"/>
      <c r="Q281" s="193"/>
      <c r="R281" s="183">
        <f>SUM(R275:R280)</f>
        <v>22620</v>
      </c>
      <c r="S281" s="183">
        <f>SUM(S275:S280)</f>
        <v>6</v>
      </c>
      <c r="T281" s="183">
        <f>SUM(T275:T280)</f>
        <v>0</v>
      </c>
      <c r="U281" s="184"/>
      <c r="V281" s="742"/>
      <c r="W281" s="183">
        <f>SUM(W275:W280)</f>
        <v>2262</v>
      </c>
      <c r="X281" s="742"/>
      <c r="Y281" s="742"/>
      <c r="Z281" s="183"/>
      <c r="AA281" s="183">
        <f t="shared" ref="AA281:AV281" si="385">SUM(AA275:AA280)</f>
        <v>19980</v>
      </c>
      <c r="AB281" s="183">
        <f t="shared" si="385"/>
        <v>44862</v>
      </c>
      <c r="AC281" s="183">
        <f t="shared" si="385"/>
        <v>0</v>
      </c>
      <c r="AD281" s="183">
        <f>SUM(AD275:AD280)</f>
        <v>44862</v>
      </c>
      <c r="AE281" s="183">
        <f t="shared" si="385"/>
        <v>44862</v>
      </c>
      <c r="AF281" s="183">
        <f t="shared" si="385"/>
        <v>0</v>
      </c>
      <c r="AG281" s="183">
        <f t="shared" si="385"/>
        <v>42600</v>
      </c>
      <c r="AH281" s="183">
        <f t="shared" si="385"/>
        <v>19980</v>
      </c>
      <c r="AI281" s="183">
        <f t="shared" si="385"/>
        <v>22620</v>
      </c>
      <c r="AJ281" s="183">
        <f t="shared" si="385"/>
        <v>0</v>
      </c>
      <c r="AK281" s="183">
        <f t="shared" si="385"/>
        <v>22620</v>
      </c>
      <c r="AL281" s="183">
        <f t="shared" si="385"/>
        <v>0</v>
      </c>
      <c r="AM281" s="183">
        <f t="shared" si="385"/>
        <v>0</v>
      </c>
      <c r="AN281" s="183">
        <f t="shared" si="385"/>
        <v>0</v>
      </c>
      <c r="AO281" s="183">
        <f t="shared" si="385"/>
        <v>0</v>
      </c>
      <c r="AP281" s="183">
        <f t="shared" si="385"/>
        <v>0</v>
      </c>
      <c r="AQ281" s="183">
        <f t="shared" si="385"/>
        <v>19980</v>
      </c>
      <c r="AR281" s="183">
        <f t="shared" si="385"/>
        <v>2262</v>
      </c>
      <c r="AS281" s="183">
        <f t="shared" si="385"/>
        <v>0</v>
      </c>
      <c r="AT281" s="183">
        <f t="shared" si="385"/>
        <v>22620</v>
      </c>
      <c r="AU281" s="183">
        <f t="shared" si="385"/>
        <v>0</v>
      </c>
      <c r="AV281" s="183">
        <f t="shared" si="385"/>
        <v>0</v>
      </c>
      <c r="AW281" s="183">
        <f>SUM(AW275:AW280)</f>
        <v>22620</v>
      </c>
      <c r="AX281" s="251"/>
      <c r="AY281" s="839"/>
      <c r="AZ281" s="838"/>
      <c r="BA281" s="839"/>
    </row>
    <row r="282" spans="2:53" s="76" customFormat="1">
      <c r="B282" s="703"/>
      <c r="C282" s="191" t="s">
        <v>1153</v>
      </c>
      <c r="D282" s="192"/>
      <c r="E282" s="193"/>
      <c r="F282" s="193"/>
      <c r="G282" s="193"/>
      <c r="H282" s="731"/>
      <c r="I282" s="193"/>
      <c r="J282" s="731"/>
      <c r="K282" s="193"/>
      <c r="L282" s="193"/>
      <c r="M282" s="731"/>
      <c r="N282" s="193"/>
      <c r="O282" s="731"/>
      <c r="P282" s="193"/>
      <c r="Q282" s="193"/>
      <c r="R282" s="193"/>
      <c r="S282" s="193"/>
      <c r="T282" s="193"/>
      <c r="U282" s="193"/>
      <c r="V282" s="732"/>
      <c r="W282" s="193"/>
      <c r="X282" s="732"/>
      <c r="Y282" s="732"/>
      <c r="Z282" s="193"/>
      <c r="AA282" s="193"/>
      <c r="AB282" s="193"/>
      <c r="AC282" s="195"/>
      <c r="AD282" s="195"/>
      <c r="AE282" s="195"/>
      <c r="AF282" s="195"/>
      <c r="AG282" s="195"/>
      <c r="AH282" s="195"/>
      <c r="AI282" s="203"/>
      <c r="AJ282" s="203"/>
      <c r="AK282" s="203"/>
      <c r="AL282" s="203"/>
      <c r="AM282" s="203"/>
      <c r="AN282" s="203"/>
      <c r="AO282" s="205"/>
      <c r="AP282" s="205"/>
      <c r="AQ282" s="205"/>
      <c r="AR282" s="205"/>
      <c r="AS282" s="205"/>
      <c r="AT282" s="209"/>
      <c r="AU282" s="209"/>
      <c r="AV282" s="203"/>
      <c r="AW282" s="251"/>
      <c r="AX282" s="251"/>
      <c r="AY282" s="839"/>
      <c r="AZ282" s="838"/>
      <c r="BA282" s="839"/>
    </row>
    <row r="283" spans="2:53" s="76" customFormat="1" ht="63">
      <c r="B283" s="703">
        <f>B280+1</f>
        <v>195</v>
      </c>
      <c r="C283" s="197" t="s">
        <v>1213</v>
      </c>
      <c r="D283" s="198"/>
      <c r="E283" s="703" t="s">
        <v>193</v>
      </c>
      <c r="F283" s="703">
        <v>4</v>
      </c>
      <c r="G283" s="199">
        <v>4058</v>
      </c>
      <c r="H283" s="736"/>
      <c r="I283" s="199"/>
      <c r="J283" s="736"/>
      <c r="K283" s="199"/>
      <c r="L283" s="199"/>
      <c r="M283" s="736"/>
      <c r="N283" s="199"/>
      <c r="O283" s="736"/>
      <c r="P283" s="199"/>
      <c r="Q283" s="199"/>
      <c r="R283" s="199">
        <f>G283+I283+K283+L283+N283+P283+Q283</f>
        <v>4058</v>
      </c>
      <c r="S283" s="199">
        <v>1</v>
      </c>
      <c r="T283" s="199"/>
      <c r="U283" s="199"/>
      <c r="V283" s="737">
        <v>0.1</v>
      </c>
      <c r="W283" s="199">
        <f>R283*V283</f>
        <v>405.8</v>
      </c>
      <c r="X283" s="718"/>
      <c r="Y283" s="737"/>
      <c r="Z283" s="199"/>
      <c r="AA283" s="199">
        <f>AH283</f>
        <v>3042</v>
      </c>
      <c r="AB283" s="199">
        <f>(R283+Z283+U283+W283)*S283+AA283</f>
        <v>7505.8</v>
      </c>
      <c r="AC283" s="738">
        <f>AF283</f>
        <v>0</v>
      </c>
      <c r="AD283" s="738">
        <f>AB283+AC283</f>
        <v>7505.8</v>
      </c>
      <c r="AE283" s="202">
        <f>AB283</f>
        <v>7505.8</v>
      </c>
      <c r="AF283" s="202">
        <f>AE283-AB283</f>
        <v>0</v>
      </c>
      <c r="AG283" s="738">
        <f>7100*S283</f>
        <v>7100</v>
      </c>
      <c r="AH283" s="202">
        <f>AG283-(R283*S283)</f>
        <v>3042</v>
      </c>
      <c r="AI283" s="203">
        <f>G283*S283</f>
        <v>4058</v>
      </c>
      <c r="AJ283" s="203">
        <f>G283*T283</f>
        <v>0</v>
      </c>
      <c r="AK283" s="203">
        <f>R283*S283</f>
        <v>4058</v>
      </c>
      <c r="AL283" s="203">
        <f>R283*T283</f>
        <v>0</v>
      </c>
      <c r="AM283" s="203">
        <f t="shared" ref="AM283:AN286" si="386">AK283-AI283</f>
        <v>0</v>
      </c>
      <c r="AN283" s="203">
        <f t="shared" si="386"/>
        <v>0</v>
      </c>
      <c r="AO283" s="205">
        <f>Z283*S283</f>
        <v>0</v>
      </c>
      <c r="AP283" s="205">
        <f>Z283*T283</f>
        <v>0</v>
      </c>
      <c r="AQ283" s="205">
        <f>AA283</f>
        <v>3042</v>
      </c>
      <c r="AR283" s="205">
        <f>W283*S283</f>
        <v>405.8</v>
      </c>
      <c r="AS283" s="205">
        <f>W283*T283</f>
        <v>0</v>
      </c>
      <c r="AT283" s="209">
        <f t="shared" ref="AT283:AU347" si="387">AK283</f>
        <v>4058</v>
      </c>
      <c r="AU283" s="209">
        <f t="shared" si="387"/>
        <v>0</v>
      </c>
      <c r="AV283" s="203"/>
      <c r="AW283" s="251">
        <f>R283*S283</f>
        <v>4058</v>
      </c>
      <c r="AX283" s="251"/>
      <c r="AY283" s="838">
        <f>AW283</f>
        <v>4058</v>
      </c>
      <c r="AZ283" s="838"/>
      <c r="BA283" s="839"/>
    </row>
    <row r="284" spans="2:53" s="76" customFormat="1" ht="63">
      <c r="B284" s="703">
        <f t="shared" si="384"/>
        <v>196</v>
      </c>
      <c r="C284" s="197" t="s">
        <v>1213</v>
      </c>
      <c r="D284" s="198"/>
      <c r="E284" s="703" t="s">
        <v>1819</v>
      </c>
      <c r="F284" s="703">
        <v>4</v>
      </c>
      <c r="G284" s="199">
        <v>4058</v>
      </c>
      <c r="H284" s="736"/>
      <c r="I284" s="199"/>
      <c r="J284" s="736"/>
      <c r="K284" s="199"/>
      <c r="L284" s="199"/>
      <c r="M284" s="736"/>
      <c r="N284" s="199"/>
      <c r="O284" s="736"/>
      <c r="P284" s="199"/>
      <c r="Q284" s="199"/>
      <c r="R284" s="199">
        <f>G284+I284+K284+L284+N284+P284+Q284</f>
        <v>4058</v>
      </c>
      <c r="S284" s="199">
        <v>1</v>
      </c>
      <c r="T284" s="199"/>
      <c r="U284" s="199"/>
      <c r="V284" s="737">
        <v>0.1</v>
      </c>
      <c r="W284" s="199">
        <f>R284*V284</f>
        <v>405.8</v>
      </c>
      <c r="X284" s="718"/>
      <c r="Y284" s="737"/>
      <c r="Z284" s="199"/>
      <c r="AA284" s="199">
        <f>AH284</f>
        <v>3042</v>
      </c>
      <c r="AB284" s="199">
        <f>(R284+Z284+U284+W284)*S284+AA284</f>
        <v>7505.8</v>
      </c>
      <c r="AC284" s="738">
        <f>AF284</f>
        <v>0</v>
      </c>
      <c r="AD284" s="738">
        <f>AB284+AC284</f>
        <v>7505.8</v>
      </c>
      <c r="AE284" s="202">
        <f>AB284</f>
        <v>7505.8</v>
      </c>
      <c r="AF284" s="202">
        <f>AE284-AB284</f>
        <v>0</v>
      </c>
      <c r="AG284" s="738">
        <f>7100*S284</f>
        <v>7100</v>
      </c>
      <c r="AH284" s="202">
        <f>AG284-(R284*S284)</f>
        <v>3042</v>
      </c>
      <c r="AI284" s="203">
        <f>G284*S284</f>
        <v>4058</v>
      </c>
      <c r="AJ284" s="203">
        <f>G284*T284</f>
        <v>0</v>
      </c>
      <c r="AK284" s="203">
        <f>R284*S284</f>
        <v>4058</v>
      </c>
      <c r="AL284" s="203">
        <f>R284*T284</f>
        <v>0</v>
      </c>
      <c r="AM284" s="203">
        <f t="shared" si="386"/>
        <v>0</v>
      </c>
      <c r="AN284" s="203">
        <f t="shared" si="386"/>
        <v>0</v>
      </c>
      <c r="AO284" s="205">
        <f>Z284*S284</f>
        <v>0</v>
      </c>
      <c r="AP284" s="205">
        <f>Z284*T284</f>
        <v>0</v>
      </c>
      <c r="AQ284" s="205">
        <f>AA284</f>
        <v>3042</v>
      </c>
      <c r="AR284" s="205">
        <f>W284*S284</f>
        <v>405.8</v>
      </c>
      <c r="AS284" s="205">
        <f>W284*T284</f>
        <v>0</v>
      </c>
      <c r="AT284" s="209">
        <f t="shared" si="387"/>
        <v>4058</v>
      </c>
      <c r="AU284" s="209">
        <f t="shared" si="387"/>
        <v>0</v>
      </c>
      <c r="AV284" s="203"/>
      <c r="AW284" s="251">
        <f>R284*S284</f>
        <v>4058</v>
      </c>
      <c r="AX284" s="251"/>
      <c r="AY284" s="838">
        <f>AW284</f>
        <v>4058</v>
      </c>
      <c r="AZ284" s="838"/>
      <c r="BA284" s="839"/>
    </row>
    <row r="285" spans="2:53" s="76" customFormat="1" ht="63">
      <c r="B285" s="703">
        <f t="shared" si="384"/>
        <v>197</v>
      </c>
      <c r="C285" s="197" t="s">
        <v>1213</v>
      </c>
      <c r="D285" s="198"/>
      <c r="E285" s="703" t="s">
        <v>1820</v>
      </c>
      <c r="F285" s="703">
        <v>4</v>
      </c>
      <c r="G285" s="199">
        <v>4058</v>
      </c>
      <c r="H285" s="736"/>
      <c r="I285" s="199"/>
      <c r="J285" s="736"/>
      <c r="K285" s="199"/>
      <c r="L285" s="199"/>
      <c r="M285" s="736"/>
      <c r="N285" s="199"/>
      <c r="O285" s="736"/>
      <c r="P285" s="199"/>
      <c r="Q285" s="199"/>
      <c r="R285" s="199">
        <f>G285+I285+K285+L285+N285+P285+Q285</f>
        <v>4058</v>
      </c>
      <c r="S285" s="199">
        <v>1</v>
      </c>
      <c r="T285" s="199"/>
      <c r="U285" s="199"/>
      <c r="V285" s="737">
        <v>0.1</v>
      </c>
      <c r="W285" s="199">
        <f>R285*V285</f>
        <v>405.8</v>
      </c>
      <c r="X285" s="718"/>
      <c r="Y285" s="737"/>
      <c r="Z285" s="199"/>
      <c r="AA285" s="199">
        <f>AH285</f>
        <v>3042</v>
      </c>
      <c r="AB285" s="199">
        <f>(R285+Z285+U285+W285)*S285+AA285</f>
        <v>7505.8</v>
      </c>
      <c r="AC285" s="738">
        <f>AF285</f>
        <v>0</v>
      </c>
      <c r="AD285" s="738">
        <f>AB285+AC285</f>
        <v>7505.8</v>
      </c>
      <c r="AE285" s="202">
        <f>AB285</f>
        <v>7505.8</v>
      </c>
      <c r="AF285" s="202">
        <f>AE285-AB285</f>
        <v>0</v>
      </c>
      <c r="AG285" s="738">
        <f>7100*S285</f>
        <v>7100</v>
      </c>
      <c r="AH285" s="202">
        <f>AG285-(R285*S285)</f>
        <v>3042</v>
      </c>
      <c r="AI285" s="203">
        <f>G285*S285</f>
        <v>4058</v>
      </c>
      <c r="AJ285" s="203">
        <f>G285*T285</f>
        <v>0</v>
      </c>
      <c r="AK285" s="203">
        <f>R285*S285</f>
        <v>4058</v>
      </c>
      <c r="AL285" s="203">
        <f>R285*T285</f>
        <v>0</v>
      </c>
      <c r="AM285" s="203">
        <f t="shared" si="386"/>
        <v>0</v>
      </c>
      <c r="AN285" s="203">
        <f t="shared" si="386"/>
        <v>0</v>
      </c>
      <c r="AO285" s="205">
        <f>Z285*S285</f>
        <v>0</v>
      </c>
      <c r="AP285" s="205">
        <f>Z285*T285</f>
        <v>0</v>
      </c>
      <c r="AQ285" s="205">
        <f>AA285</f>
        <v>3042</v>
      </c>
      <c r="AR285" s="205">
        <f>W285*S285</f>
        <v>405.8</v>
      </c>
      <c r="AS285" s="205">
        <f>W285*T285</f>
        <v>0</v>
      </c>
      <c r="AT285" s="209">
        <f t="shared" si="387"/>
        <v>4058</v>
      </c>
      <c r="AU285" s="209">
        <f t="shared" si="387"/>
        <v>0</v>
      </c>
      <c r="AV285" s="203"/>
      <c r="AW285" s="251">
        <f>R285*S285</f>
        <v>4058</v>
      </c>
      <c r="AX285" s="251"/>
      <c r="AY285" s="838">
        <f>AW285</f>
        <v>4058</v>
      </c>
      <c r="AZ285" s="838"/>
      <c r="BA285" s="839"/>
    </row>
    <row r="286" spans="2:53" s="76" customFormat="1" ht="63">
      <c r="B286" s="703">
        <f t="shared" si="384"/>
        <v>198</v>
      </c>
      <c r="C286" s="197" t="s">
        <v>1213</v>
      </c>
      <c r="D286" s="198"/>
      <c r="E286" s="703" t="s">
        <v>1214</v>
      </c>
      <c r="F286" s="703">
        <v>4</v>
      </c>
      <c r="G286" s="199">
        <v>4058</v>
      </c>
      <c r="H286" s="736"/>
      <c r="I286" s="199"/>
      <c r="J286" s="736"/>
      <c r="K286" s="199"/>
      <c r="L286" s="199"/>
      <c r="M286" s="736"/>
      <c r="N286" s="199"/>
      <c r="O286" s="736"/>
      <c r="P286" s="199"/>
      <c r="Q286" s="199"/>
      <c r="R286" s="199">
        <f>G286+I286+K286+L286+N286+P286+Q286</f>
        <v>4058</v>
      </c>
      <c r="S286" s="199">
        <v>1</v>
      </c>
      <c r="T286" s="199"/>
      <c r="U286" s="199"/>
      <c r="V286" s="737">
        <v>0.1</v>
      </c>
      <c r="W286" s="199">
        <f>R286*V286</f>
        <v>405.8</v>
      </c>
      <c r="X286" s="718"/>
      <c r="Y286" s="737"/>
      <c r="Z286" s="199"/>
      <c r="AA286" s="199">
        <f>AH286</f>
        <v>3042</v>
      </c>
      <c r="AB286" s="199">
        <f>(R286+Z286+U286+W286)*S286+AA286</f>
        <v>7505.8</v>
      </c>
      <c r="AC286" s="738">
        <f>AF286</f>
        <v>0</v>
      </c>
      <c r="AD286" s="738">
        <f>AB286+AC286</f>
        <v>7505.8</v>
      </c>
      <c r="AE286" s="202">
        <f>AB286</f>
        <v>7505.8</v>
      </c>
      <c r="AF286" s="202">
        <f>AE286-AB286</f>
        <v>0</v>
      </c>
      <c r="AG286" s="738">
        <f>7100*S286</f>
        <v>7100</v>
      </c>
      <c r="AH286" s="202">
        <f>AG286-(R286*S286)</f>
        <v>3042</v>
      </c>
      <c r="AI286" s="203">
        <f>G286*S286</f>
        <v>4058</v>
      </c>
      <c r="AJ286" s="203">
        <f>G286*T286</f>
        <v>0</v>
      </c>
      <c r="AK286" s="203">
        <f>R286*S286</f>
        <v>4058</v>
      </c>
      <c r="AL286" s="203">
        <f>R286*T286</f>
        <v>0</v>
      </c>
      <c r="AM286" s="203">
        <f t="shared" si="386"/>
        <v>0</v>
      </c>
      <c r="AN286" s="203">
        <f t="shared" si="386"/>
        <v>0</v>
      </c>
      <c r="AO286" s="205">
        <f>Z286*S286</f>
        <v>0</v>
      </c>
      <c r="AP286" s="205">
        <f>Z286*T286</f>
        <v>0</v>
      </c>
      <c r="AQ286" s="205">
        <f>AA286</f>
        <v>3042</v>
      </c>
      <c r="AR286" s="205">
        <f>W286*S286</f>
        <v>405.8</v>
      </c>
      <c r="AS286" s="205">
        <f>W286*T286</f>
        <v>0</v>
      </c>
      <c r="AT286" s="209">
        <f t="shared" si="387"/>
        <v>4058</v>
      </c>
      <c r="AU286" s="209">
        <f t="shared" si="387"/>
        <v>0</v>
      </c>
      <c r="AV286" s="203"/>
      <c r="AW286" s="251">
        <f>R286*S286</f>
        <v>4058</v>
      </c>
      <c r="AX286" s="251"/>
      <c r="AY286" s="838">
        <f>AW286</f>
        <v>4058</v>
      </c>
      <c r="AZ286" s="838"/>
      <c r="BA286" s="839"/>
    </row>
    <row r="287" spans="2:53" s="76" customFormat="1">
      <c r="B287" s="703"/>
      <c r="C287" s="180" t="s">
        <v>1736</v>
      </c>
      <c r="D287" s="207"/>
      <c r="E287" s="193"/>
      <c r="F287" s="193"/>
      <c r="G287" s="183">
        <f>SUM(G283:G286)</f>
        <v>16232</v>
      </c>
      <c r="H287" s="731"/>
      <c r="I287" s="193"/>
      <c r="J287" s="731"/>
      <c r="K287" s="193"/>
      <c r="L287" s="193"/>
      <c r="M287" s="731"/>
      <c r="N287" s="193"/>
      <c r="O287" s="731"/>
      <c r="P287" s="193"/>
      <c r="Q287" s="193"/>
      <c r="R287" s="183">
        <f>SUM(R283:R286)</f>
        <v>16232</v>
      </c>
      <c r="S287" s="183">
        <f>SUM(S283:S286)</f>
        <v>4</v>
      </c>
      <c r="T287" s="183">
        <f>SUM(T283:T286)</f>
        <v>0</v>
      </c>
      <c r="U287" s="183"/>
      <c r="V287" s="742"/>
      <c r="W287" s="183">
        <f>SUM(W283:W286)</f>
        <v>1623.2</v>
      </c>
      <c r="X287" s="742"/>
      <c r="Y287" s="742"/>
      <c r="Z287" s="183"/>
      <c r="AA287" s="183">
        <f t="shared" ref="AA287:AV287" si="388">SUM(AA283:AA286)</f>
        <v>12168</v>
      </c>
      <c r="AB287" s="183">
        <f t="shared" si="388"/>
        <v>30023.200000000001</v>
      </c>
      <c r="AC287" s="183">
        <f t="shared" si="388"/>
        <v>0</v>
      </c>
      <c r="AD287" s="183">
        <f>SUM(AD283:AD286)</f>
        <v>30023.200000000001</v>
      </c>
      <c r="AE287" s="183">
        <f t="shared" si="388"/>
        <v>30023.200000000001</v>
      </c>
      <c r="AF287" s="183">
        <f t="shared" si="388"/>
        <v>0</v>
      </c>
      <c r="AG287" s="183">
        <f t="shared" si="388"/>
        <v>28400</v>
      </c>
      <c r="AH287" s="183">
        <f t="shared" si="388"/>
        <v>12168</v>
      </c>
      <c r="AI287" s="183">
        <f t="shared" si="388"/>
        <v>16232</v>
      </c>
      <c r="AJ287" s="183">
        <f t="shared" si="388"/>
        <v>0</v>
      </c>
      <c r="AK287" s="183">
        <f t="shared" si="388"/>
        <v>16232</v>
      </c>
      <c r="AL287" s="183">
        <f t="shared" si="388"/>
        <v>0</v>
      </c>
      <c r="AM287" s="183">
        <f t="shared" si="388"/>
        <v>0</v>
      </c>
      <c r="AN287" s="183">
        <f t="shared" si="388"/>
        <v>0</v>
      </c>
      <c r="AO287" s="183">
        <f t="shared" si="388"/>
        <v>0</v>
      </c>
      <c r="AP287" s="183">
        <f t="shared" si="388"/>
        <v>0</v>
      </c>
      <c r="AQ287" s="183">
        <f t="shared" si="388"/>
        <v>12168</v>
      </c>
      <c r="AR287" s="183">
        <f t="shared" si="388"/>
        <v>1623.2</v>
      </c>
      <c r="AS287" s="183">
        <f t="shared" si="388"/>
        <v>0</v>
      </c>
      <c r="AT287" s="183">
        <f t="shared" si="388"/>
        <v>16232</v>
      </c>
      <c r="AU287" s="183">
        <f t="shared" si="388"/>
        <v>0</v>
      </c>
      <c r="AV287" s="183">
        <f t="shared" si="388"/>
        <v>0</v>
      </c>
      <c r="AW287" s="183">
        <f>SUM(AW283:AW286)</f>
        <v>16232</v>
      </c>
      <c r="AX287" s="251"/>
      <c r="AY287" s="839"/>
      <c r="AZ287" s="838"/>
      <c r="BA287" s="839"/>
    </row>
    <row r="288" spans="2:53" s="76" customFormat="1">
      <c r="B288" s="703"/>
      <c r="C288" s="180" t="s">
        <v>1278</v>
      </c>
      <c r="D288" s="207"/>
      <c r="E288" s="193"/>
      <c r="F288" s="193"/>
      <c r="G288" s="185">
        <f>G258+G267+G273+G281+G287</f>
        <v>185438</v>
      </c>
      <c r="H288" s="753"/>
      <c r="I288" s="185">
        <f t="shared" ref="I288:AB288" si="389">I258+I267+I273+I281+I287</f>
        <v>2485.6999999999998</v>
      </c>
      <c r="J288" s="753"/>
      <c r="K288" s="185">
        <f t="shared" si="389"/>
        <v>23092.25</v>
      </c>
      <c r="L288" s="185"/>
      <c r="M288" s="753"/>
      <c r="N288" s="185"/>
      <c r="O288" s="753"/>
      <c r="P288" s="185"/>
      <c r="Q288" s="185"/>
      <c r="R288" s="185">
        <f t="shared" si="389"/>
        <v>211015.95</v>
      </c>
      <c r="S288" s="183">
        <f t="shared" si="389"/>
        <v>27.5</v>
      </c>
      <c r="T288" s="183">
        <f t="shared" si="389"/>
        <v>2.25</v>
      </c>
      <c r="U288" s="185">
        <f t="shared" si="389"/>
        <v>0</v>
      </c>
      <c r="V288" s="753">
        <f t="shared" si="389"/>
        <v>0</v>
      </c>
      <c r="W288" s="185">
        <f t="shared" si="389"/>
        <v>3885.2</v>
      </c>
      <c r="X288" s="753">
        <f t="shared" si="389"/>
        <v>0</v>
      </c>
      <c r="Y288" s="753">
        <f t="shared" si="389"/>
        <v>0</v>
      </c>
      <c r="Z288" s="185">
        <f t="shared" si="389"/>
        <v>38336.36</v>
      </c>
      <c r="AA288" s="185">
        <f t="shared" si="389"/>
        <v>32615.599999999999</v>
      </c>
      <c r="AB288" s="185">
        <f t="shared" si="389"/>
        <v>251081.76625000002</v>
      </c>
      <c r="AC288" s="185">
        <f>AC258+AC267+AC273+AC281+AC287</f>
        <v>147303.43375</v>
      </c>
      <c r="AD288" s="185">
        <f>AD258+AD267+AD273+AD281+AD287</f>
        <v>398385.2</v>
      </c>
      <c r="AE288" s="185">
        <f t="shared" ref="AE288:AV288" si="390">AE258+AE267+AE273+AE281+AE287</f>
        <v>398385.2</v>
      </c>
      <c r="AF288" s="185">
        <f t="shared" si="390"/>
        <v>147303.43375</v>
      </c>
      <c r="AG288" s="185">
        <f>AG258+AG267+AG273+AG281+AG287</f>
        <v>211225</v>
      </c>
      <c r="AH288" s="185">
        <f t="shared" si="390"/>
        <v>65094.556250000001</v>
      </c>
      <c r="AI288" s="185">
        <f t="shared" si="390"/>
        <v>145547.5</v>
      </c>
      <c r="AJ288" s="185">
        <f t="shared" si="390"/>
        <v>16558.5</v>
      </c>
      <c r="AK288" s="185">
        <f t="shared" si="390"/>
        <v>161152.82500000001</v>
      </c>
      <c r="AL288" s="185">
        <f t="shared" si="390"/>
        <v>20698.125</v>
      </c>
      <c r="AM288" s="185">
        <f t="shared" si="390"/>
        <v>15605.325000000001</v>
      </c>
      <c r="AN288" s="185">
        <f t="shared" si="390"/>
        <v>4139.625</v>
      </c>
      <c r="AO288" s="185">
        <f t="shared" si="390"/>
        <v>28363.735000000001</v>
      </c>
      <c r="AP288" s="185">
        <f t="shared" si="390"/>
        <v>4366.28125</v>
      </c>
      <c r="AQ288" s="185">
        <f t="shared" si="390"/>
        <v>32615.599999999999</v>
      </c>
      <c r="AR288" s="185">
        <f t="shared" si="390"/>
        <v>3885.2</v>
      </c>
      <c r="AS288" s="185">
        <f t="shared" si="390"/>
        <v>0</v>
      </c>
      <c r="AT288" s="185">
        <f t="shared" si="390"/>
        <v>161152.82500000001</v>
      </c>
      <c r="AU288" s="185">
        <f t="shared" si="390"/>
        <v>20698.125</v>
      </c>
      <c r="AV288" s="185">
        <f t="shared" si="390"/>
        <v>0</v>
      </c>
      <c r="AW288" s="185">
        <f>AW258+AW267+AW273+AW281+AW287</f>
        <v>181850.95</v>
      </c>
      <c r="AX288" s="251"/>
      <c r="AY288" s="839"/>
      <c r="AZ288" s="838"/>
      <c r="BA288" s="839"/>
    </row>
    <row r="289" spans="2:53" s="76" customFormat="1" ht="61.5">
      <c r="B289" s="703"/>
      <c r="C289" s="191" t="s">
        <v>1782</v>
      </c>
      <c r="D289" s="192"/>
      <c r="E289" s="193"/>
      <c r="F289" s="193"/>
      <c r="G289" s="193"/>
      <c r="H289" s="731"/>
      <c r="I289" s="193"/>
      <c r="J289" s="731"/>
      <c r="K289" s="193"/>
      <c r="L289" s="193"/>
      <c r="M289" s="731"/>
      <c r="N289" s="193"/>
      <c r="O289" s="731"/>
      <c r="P289" s="193"/>
      <c r="Q289" s="193"/>
      <c r="R289" s="193"/>
      <c r="S289" s="193"/>
      <c r="T289" s="193"/>
      <c r="U289" s="193"/>
      <c r="V289" s="732"/>
      <c r="W289" s="193"/>
      <c r="X289" s="732"/>
      <c r="Y289" s="732"/>
      <c r="Z289" s="193"/>
      <c r="AA289" s="193"/>
      <c r="AB289" s="193"/>
      <c r="AC289" s="195"/>
      <c r="AD289" s="195"/>
      <c r="AE289" s="195"/>
      <c r="AF289" s="195"/>
      <c r="AG289" s="195"/>
      <c r="AH289" s="195"/>
      <c r="AI289" s="203"/>
      <c r="AJ289" s="203"/>
      <c r="AK289" s="203"/>
      <c r="AL289" s="203"/>
      <c r="AM289" s="203"/>
      <c r="AN289" s="203"/>
      <c r="AO289" s="205"/>
      <c r="AP289" s="205"/>
      <c r="AQ289" s="205"/>
      <c r="AR289" s="205"/>
      <c r="AS289" s="205"/>
      <c r="AT289" s="209"/>
      <c r="AU289" s="209"/>
      <c r="AV289" s="203"/>
      <c r="AW289" s="251"/>
      <c r="AX289" s="251"/>
      <c r="AY289" s="839"/>
      <c r="AZ289" s="838"/>
      <c r="BA289" s="839"/>
    </row>
    <row r="290" spans="2:53" s="76" customFormat="1">
      <c r="B290" s="703"/>
      <c r="C290" s="220" t="s">
        <v>1382</v>
      </c>
      <c r="D290" s="217"/>
      <c r="E290" s="218"/>
      <c r="F290" s="218"/>
      <c r="G290" s="218"/>
      <c r="H290" s="745"/>
      <c r="I290" s="218"/>
      <c r="J290" s="745"/>
      <c r="K290" s="218"/>
      <c r="L290" s="218"/>
      <c r="M290" s="745"/>
      <c r="N290" s="218"/>
      <c r="O290" s="745"/>
      <c r="P290" s="218"/>
      <c r="Q290" s="218"/>
      <c r="R290" s="218"/>
      <c r="S290" s="218"/>
      <c r="T290" s="218"/>
      <c r="U290" s="218"/>
      <c r="V290" s="746"/>
      <c r="W290" s="218"/>
      <c r="X290" s="746"/>
      <c r="Y290" s="746"/>
      <c r="Z290" s="218"/>
      <c r="AA290" s="218"/>
      <c r="AB290" s="218"/>
      <c r="AC290" s="219"/>
      <c r="AD290" s="219"/>
      <c r="AE290" s="219"/>
      <c r="AF290" s="219"/>
      <c r="AG290" s="219"/>
      <c r="AH290" s="219"/>
      <c r="AI290" s="203"/>
      <c r="AJ290" s="203"/>
      <c r="AK290" s="203"/>
      <c r="AL290" s="203"/>
      <c r="AM290" s="203"/>
      <c r="AN290" s="203"/>
      <c r="AO290" s="205"/>
      <c r="AP290" s="205"/>
      <c r="AQ290" s="205"/>
      <c r="AR290" s="205"/>
      <c r="AS290" s="205"/>
      <c r="AT290" s="209"/>
      <c r="AU290" s="209"/>
      <c r="AV290" s="203"/>
      <c r="AW290" s="251"/>
      <c r="AX290" s="251"/>
      <c r="AY290" s="839"/>
      <c r="AZ290" s="838"/>
      <c r="BA290" s="839"/>
    </row>
    <row r="291" spans="2:53" s="76" customFormat="1">
      <c r="B291" s="703">
        <f>B286+1</f>
        <v>199</v>
      </c>
      <c r="C291" s="197" t="s">
        <v>1783</v>
      </c>
      <c r="D291" s="198" t="s">
        <v>194</v>
      </c>
      <c r="E291" s="703" t="s">
        <v>195</v>
      </c>
      <c r="F291" s="703">
        <v>14</v>
      </c>
      <c r="G291" s="199">
        <v>7732</v>
      </c>
      <c r="H291" s="737">
        <v>0.2</v>
      </c>
      <c r="I291" s="199">
        <f>G291*H291</f>
        <v>1546.4</v>
      </c>
      <c r="J291" s="737">
        <v>0.15</v>
      </c>
      <c r="K291" s="204">
        <f>(G291+I291)*J291</f>
        <v>1391.76</v>
      </c>
      <c r="L291" s="199"/>
      <c r="M291" s="718"/>
      <c r="N291" s="193"/>
      <c r="O291" s="737">
        <v>0.15</v>
      </c>
      <c r="P291" s="204">
        <f>G291*O291</f>
        <v>1159.8</v>
      </c>
      <c r="Q291" s="201"/>
      <c r="R291" s="199">
        <f>G291+I291+K291+L291+N291+P291+Q291</f>
        <v>11829.96</v>
      </c>
      <c r="S291" s="199">
        <v>1</v>
      </c>
      <c r="T291" s="703"/>
      <c r="U291" s="703"/>
      <c r="V291" s="737"/>
      <c r="W291" s="703"/>
      <c r="X291" s="718">
        <v>29</v>
      </c>
      <c r="Y291" s="737">
        <v>0.3</v>
      </c>
      <c r="Z291" s="199">
        <f t="shared" ref="Z291:Z298" si="391">R291*Y291</f>
        <v>3548.9879999999998</v>
      </c>
      <c r="AA291" s="199"/>
      <c r="AB291" s="199">
        <f>R291+Z291</f>
        <v>15378.947999999999</v>
      </c>
      <c r="AC291" s="738">
        <f t="shared" ref="AC291:AC298" si="392">AF291</f>
        <v>4621.0520000000015</v>
      </c>
      <c r="AD291" s="738">
        <f t="shared" ref="AD291:AD298" si="393">AB291+AC291</f>
        <v>20000</v>
      </c>
      <c r="AE291" s="202">
        <f>20000*S291</f>
        <v>20000</v>
      </c>
      <c r="AF291" s="202">
        <f t="shared" ref="AF291:AF298" si="394">AE291-AB291</f>
        <v>4621.0520000000015</v>
      </c>
      <c r="AG291" s="738">
        <f>7100*S291</f>
        <v>7100</v>
      </c>
      <c r="AH291" s="202">
        <f t="shared" ref="AH291:AH297" si="395">AB291-AG291</f>
        <v>8278.9479999999985</v>
      </c>
      <c r="AI291" s="203">
        <f t="shared" ref="AI291:AI298" si="396">G291*S291</f>
        <v>7732</v>
      </c>
      <c r="AJ291" s="203">
        <f t="shared" ref="AJ291:AJ298" si="397">G291*T291</f>
        <v>0</v>
      </c>
      <c r="AK291" s="203">
        <f>R291*S291</f>
        <v>11829.96</v>
      </c>
      <c r="AL291" s="203">
        <f>R291*T291</f>
        <v>0</v>
      </c>
      <c r="AM291" s="203">
        <f t="shared" ref="AM291:AN295" si="398">AK291-AI291</f>
        <v>4097.9599999999991</v>
      </c>
      <c r="AN291" s="203">
        <f t="shared" si="398"/>
        <v>0</v>
      </c>
      <c r="AO291" s="205">
        <f>Z291*S291</f>
        <v>3548.9879999999998</v>
      </c>
      <c r="AP291" s="205">
        <f>Z291*T291</f>
        <v>0</v>
      </c>
      <c r="AQ291" s="205">
        <f>AA291</f>
        <v>0</v>
      </c>
      <c r="AR291" s="205">
        <f>W291*S291</f>
        <v>0</v>
      </c>
      <c r="AS291" s="205">
        <f>W291*T291</f>
        <v>0</v>
      </c>
      <c r="AT291" s="209">
        <f t="shared" si="387"/>
        <v>11829.96</v>
      </c>
      <c r="AU291" s="209">
        <f t="shared" si="387"/>
        <v>0</v>
      </c>
      <c r="AV291" s="203"/>
      <c r="AW291" s="251">
        <f>R291*S291</f>
        <v>11829.96</v>
      </c>
      <c r="AX291" s="251"/>
      <c r="AY291" s="838">
        <f t="shared" ref="AY291:AY298" si="399">AW291</f>
        <v>11829.96</v>
      </c>
      <c r="AZ291" s="838"/>
      <c r="BA291" s="839"/>
    </row>
    <row r="292" spans="2:53" s="76" customFormat="1">
      <c r="B292" s="703">
        <f t="shared" si="384"/>
        <v>200</v>
      </c>
      <c r="C292" s="197" t="s">
        <v>1025</v>
      </c>
      <c r="D292" s="198"/>
      <c r="E292" s="703" t="s">
        <v>1741</v>
      </c>
      <c r="F292" s="703">
        <v>14</v>
      </c>
      <c r="G292" s="199">
        <v>7732</v>
      </c>
      <c r="H292" s="718"/>
      <c r="I292" s="703"/>
      <c r="J292" s="718"/>
      <c r="K292" s="703"/>
      <c r="L292" s="703"/>
      <c r="M292" s="718"/>
      <c r="N292" s="193"/>
      <c r="O292" s="737">
        <v>0.15</v>
      </c>
      <c r="P292" s="204">
        <f t="shared" ref="P292:P298" si="400">G292*O292</f>
        <v>1159.8</v>
      </c>
      <c r="Q292" s="201"/>
      <c r="R292" s="199">
        <f t="shared" ref="R292:R298" si="401">G292+I292+K292+L292+N292+P292+Q292</f>
        <v>8891.7999999999993</v>
      </c>
      <c r="S292" s="199">
        <v>1</v>
      </c>
      <c r="T292" s="703"/>
      <c r="U292" s="703"/>
      <c r="V292" s="737"/>
      <c r="W292" s="703"/>
      <c r="X292" s="718"/>
      <c r="Y292" s="737">
        <v>0</v>
      </c>
      <c r="Z292" s="199">
        <f t="shared" si="391"/>
        <v>0</v>
      </c>
      <c r="AA292" s="199"/>
      <c r="AB292" s="199">
        <f>R292+Z292</f>
        <v>8891.7999999999993</v>
      </c>
      <c r="AC292" s="738">
        <f t="shared" si="392"/>
        <v>11108.2</v>
      </c>
      <c r="AD292" s="738">
        <f t="shared" si="393"/>
        <v>20000</v>
      </c>
      <c r="AE292" s="202">
        <f>20000*S292</f>
        <v>20000</v>
      </c>
      <c r="AF292" s="202">
        <f t="shared" si="394"/>
        <v>11108.2</v>
      </c>
      <c r="AG292" s="738">
        <f>7100*S292</f>
        <v>7100</v>
      </c>
      <c r="AH292" s="202">
        <f t="shared" si="395"/>
        <v>1791.7999999999993</v>
      </c>
      <c r="AI292" s="203">
        <f t="shared" si="396"/>
        <v>7732</v>
      </c>
      <c r="AJ292" s="203">
        <f t="shared" si="397"/>
        <v>0</v>
      </c>
      <c r="AK292" s="203">
        <f>R292*S292</f>
        <v>8891.7999999999993</v>
      </c>
      <c r="AL292" s="203">
        <f>R292*T292</f>
        <v>0</v>
      </c>
      <c r="AM292" s="203">
        <f t="shared" si="398"/>
        <v>1159.7999999999993</v>
      </c>
      <c r="AN292" s="203">
        <f t="shared" si="398"/>
        <v>0</v>
      </c>
      <c r="AO292" s="205">
        <f>Z292*S292</f>
        <v>0</v>
      </c>
      <c r="AP292" s="205">
        <f>Z292*T292</f>
        <v>0</v>
      </c>
      <c r="AQ292" s="205">
        <f>AA292</f>
        <v>0</v>
      </c>
      <c r="AR292" s="205">
        <f>W292*S292</f>
        <v>0</v>
      </c>
      <c r="AS292" s="205">
        <f>W292*T292</f>
        <v>0</v>
      </c>
      <c r="AT292" s="209">
        <f t="shared" si="387"/>
        <v>8891.7999999999993</v>
      </c>
      <c r="AU292" s="209">
        <f t="shared" si="387"/>
        <v>0</v>
      </c>
      <c r="AV292" s="203"/>
      <c r="AW292" s="251">
        <f>R292*S292</f>
        <v>8891.7999999999993</v>
      </c>
      <c r="AX292" s="251"/>
      <c r="AY292" s="838">
        <f t="shared" si="399"/>
        <v>8891.7999999999993</v>
      </c>
      <c r="AZ292" s="838"/>
      <c r="BA292" s="839"/>
    </row>
    <row r="293" spans="2:53" s="76" customFormat="1" ht="58.5">
      <c r="B293" s="703">
        <f t="shared" si="384"/>
        <v>201</v>
      </c>
      <c r="C293" s="197" t="s">
        <v>1025</v>
      </c>
      <c r="D293" s="198" t="s">
        <v>1860</v>
      </c>
      <c r="E293" s="703" t="s">
        <v>1042</v>
      </c>
      <c r="F293" s="703">
        <v>14</v>
      </c>
      <c r="G293" s="199">
        <v>7732</v>
      </c>
      <c r="H293" s="718"/>
      <c r="I293" s="703"/>
      <c r="J293" s="718"/>
      <c r="K293" s="703"/>
      <c r="L293" s="703"/>
      <c r="M293" s="718"/>
      <c r="N293" s="193"/>
      <c r="O293" s="737">
        <v>0.15</v>
      </c>
      <c r="P293" s="204">
        <f>G293*O293</f>
        <v>1159.8</v>
      </c>
      <c r="Q293" s="201"/>
      <c r="R293" s="199">
        <f>G293+I293+K293+L293+N293+P293+Q293</f>
        <v>8891.7999999999993</v>
      </c>
      <c r="S293" s="199">
        <v>1</v>
      </c>
      <c r="T293" s="703"/>
      <c r="U293" s="703"/>
      <c r="V293" s="737"/>
      <c r="W293" s="703"/>
      <c r="X293" s="718">
        <v>23</v>
      </c>
      <c r="Y293" s="737">
        <v>0.3</v>
      </c>
      <c r="Z293" s="199">
        <f t="shared" si="391"/>
        <v>2667.5399999999995</v>
      </c>
      <c r="AA293" s="199"/>
      <c r="AB293" s="199">
        <f>R293+Z293</f>
        <v>11559.339999999998</v>
      </c>
      <c r="AC293" s="738">
        <f>AF293</f>
        <v>8440.6600000000017</v>
      </c>
      <c r="AD293" s="738">
        <f>AB293+AC293</f>
        <v>20000</v>
      </c>
      <c r="AE293" s="202">
        <f>20000*S293</f>
        <v>20000</v>
      </c>
      <c r="AF293" s="202">
        <f t="shared" si="394"/>
        <v>8440.6600000000017</v>
      </c>
      <c r="AG293" s="738">
        <f>7100*S293</f>
        <v>7100</v>
      </c>
      <c r="AH293" s="202">
        <f>AB293-AG293</f>
        <v>4459.3399999999983</v>
      </c>
      <c r="AI293" s="203">
        <f>G293*S293</f>
        <v>7732</v>
      </c>
      <c r="AJ293" s="203">
        <f>G293*T293</f>
        <v>0</v>
      </c>
      <c r="AK293" s="203">
        <f>R293*S293</f>
        <v>8891.7999999999993</v>
      </c>
      <c r="AL293" s="203">
        <f>R293*T293</f>
        <v>0</v>
      </c>
      <c r="AM293" s="203">
        <f t="shared" si="398"/>
        <v>1159.7999999999993</v>
      </c>
      <c r="AN293" s="203">
        <f t="shared" si="398"/>
        <v>0</v>
      </c>
      <c r="AO293" s="205">
        <f>Z293*S293</f>
        <v>2667.5399999999995</v>
      </c>
      <c r="AP293" s="205">
        <f>Z293*T293</f>
        <v>0</v>
      </c>
      <c r="AQ293" s="205">
        <f>AA293</f>
        <v>0</v>
      </c>
      <c r="AR293" s="205">
        <f>W293*S293</f>
        <v>0</v>
      </c>
      <c r="AS293" s="205">
        <f>W293*T293</f>
        <v>0</v>
      </c>
      <c r="AT293" s="209">
        <f t="shared" si="387"/>
        <v>8891.7999999999993</v>
      </c>
      <c r="AU293" s="209">
        <f t="shared" si="387"/>
        <v>0</v>
      </c>
      <c r="AV293" s="203"/>
      <c r="AW293" s="251">
        <f>R293*S293</f>
        <v>8891.7999999999993</v>
      </c>
      <c r="AX293" s="251"/>
      <c r="AY293" s="838">
        <f t="shared" si="399"/>
        <v>8891.7999999999993</v>
      </c>
      <c r="AZ293" s="838"/>
      <c r="BA293" s="839"/>
    </row>
    <row r="294" spans="2:53" s="76" customFormat="1" ht="58.5">
      <c r="B294" s="703">
        <f t="shared" si="384"/>
        <v>202</v>
      </c>
      <c r="C294" s="197" t="s">
        <v>1025</v>
      </c>
      <c r="D294" s="198" t="s">
        <v>1043</v>
      </c>
      <c r="E294" s="703" t="s">
        <v>1044</v>
      </c>
      <c r="F294" s="703">
        <v>14</v>
      </c>
      <c r="G294" s="199">
        <v>7732</v>
      </c>
      <c r="H294" s="718"/>
      <c r="I294" s="703"/>
      <c r="J294" s="718"/>
      <c r="K294" s="703"/>
      <c r="L294" s="703"/>
      <c r="M294" s="718"/>
      <c r="N294" s="193"/>
      <c r="O294" s="737">
        <v>0.15</v>
      </c>
      <c r="P294" s="204">
        <f t="shared" si="400"/>
        <v>1159.8</v>
      </c>
      <c r="Q294" s="201"/>
      <c r="R294" s="199">
        <f t="shared" si="401"/>
        <v>8891.7999999999993</v>
      </c>
      <c r="S294" s="199">
        <v>1</v>
      </c>
      <c r="T294" s="199"/>
      <c r="U294" s="703"/>
      <c r="V294" s="737"/>
      <c r="W294" s="703"/>
      <c r="X294" s="718">
        <v>34</v>
      </c>
      <c r="Y294" s="737">
        <v>0.3</v>
      </c>
      <c r="Z294" s="199">
        <f t="shared" si="391"/>
        <v>2667.5399999999995</v>
      </c>
      <c r="AA294" s="199"/>
      <c r="AB294" s="199">
        <f>R294+Z294</f>
        <v>11559.339999999998</v>
      </c>
      <c r="AC294" s="738">
        <f>AF294</f>
        <v>8440.6600000000017</v>
      </c>
      <c r="AD294" s="738">
        <f>AB294+AC294</f>
        <v>20000</v>
      </c>
      <c r="AE294" s="202">
        <f>20000*S294</f>
        <v>20000</v>
      </c>
      <c r="AF294" s="202">
        <f t="shared" si="394"/>
        <v>8440.6600000000017</v>
      </c>
      <c r="AG294" s="738">
        <f>7100*S294</f>
        <v>7100</v>
      </c>
      <c r="AH294" s="202">
        <f>AB294-AG294</f>
        <v>4459.3399999999983</v>
      </c>
      <c r="AI294" s="203">
        <f t="shared" si="396"/>
        <v>7732</v>
      </c>
      <c r="AJ294" s="203">
        <f t="shared" si="397"/>
        <v>0</v>
      </c>
      <c r="AK294" s="203">
        <f>R294*S294</f>
        <v>8891.7999999999993</v>
      </c>
      <c r="AL294" s="203">
        <f>R294*T294</f>
        <v>0</v>
      </c>
      <c r="AM294" s="203">
        <f t="shared" si="398"/>
        <v>1159.7999999999993</v>
      </c>
      <c r="AN294" s="203">
        <f t="shared" si="398"/>
        <v>0</v>
      </c>
      <c r="AO294" s="205">
        <f>Z294*S294</f>
        <v>2667.5399999999995</v>
      </c>
      <c r="AP294" s="205">
        <f>Z294*T294</f>
        <v>0</v>
      </c>
      <c r="AQ294" s="205">
        <f>AA294</f>
        <v>0</v>
      </c>
      <c r="AR294" s="205">
        <f>W294*S294</f>
        <v>0</v>
      </c>
      <c r="AS294" s="205">
        <f>W294*T294</f>
        <v>0</v>
      </c>
      <c r="AT294" s="209">
        <f t="shared" si="387"/>
        <v>8891.7999999999993</v>
      </c>
      <c r="AU294" s="209">
        <f t="shared" si="387"/>
        <v>0</v>
      </c>
      <c r="AV294" s="203"/>
      <c r="AW294" s="251">
        <f>R294*S294</f>
        <v>8891.7999999999993</v>
      </c>
      <c r="AX294" s="251"/>
      <c r="AY294" s="838">
        <f t="shared" si="399"/>
        <v>8891.7999999999993</v>
      </c>
      <c r="AZ294" s="838"/>
      <c r="BA294" s="839"/>
    </row>
    <row r="295" spans="2:53" s="76" customFormat="1" ht="87.75">
      <c r="B295" s="703">
        <f t="shared" si="384"/>
        <v>203</v>
      </c>
      <c r="C295" s="197" t="s">
        <v>1025</v>
      </c>
      <c r="D295" s="198" t="s">
        <v>1784</v>
      </c>
      <c r="E295" s="703" t="s">
        <v>1058</v>
      </c>
      <c r="F295" s="703">
        <v>11</v>
      </c>
      <c r="G295" s="199">
        <v>6294</v>
      </c>
      <c r="H295" s="718"/>
      <c r="I295" s="703"/>
      <c r="J295" s="718"/>
      <c r="K295" s="703"/>
      <c r="L295" s="703"/>
      <c r="M295" s="718"/>
      <c r="N295" s="193"/>
      <c r="O295" s="737">
        <v>0.15</v>
      </c>
      <c r="P295" s="204">
        <f t="shared" si="400"/>
        <v>944.09999999999991</v>
      </c>
      <c r="Q295" s="201"/>
      <c r="R295" s="199">
        <f>G295+I295+K295+L295+N295+P295+Q295</f>
        <v>7238.1</v>
      </c>
      <c r="S295" s="199"/>
      <c r="T295" s="199">
        <v>0.5</v>
      </c>
      <c r="U295" s="703"/>
      <c r="V295" s="737"/>
      <c r="W295" s="703"/>
      <c r="X295" s="718">
        <v>3</v>
      </c>
      <c r="Y295" s="737">
        <v>0.1</v>
      </c>
      <c r="Z295" s="199">
        <f t="shared" si="391"/>
        <v>723.81000000000006</v>
      </c>
      <c r="AA295" s="199"/>
      <c r="AB295" s="199">
        <f>(R295+Z295)*T295+AA295</f>
        <v>3980.9550000000004</v>
      </c>
      <c r="AC295" s="738">
        <f>AF295</f>
        <v>6019.0450000000001</v>
      </c>
      <c r="AD295" s="738">
        <f>AB295+AC295</f>
        <v>10000</v>
      </c>
      <c r="AE295" s="202">
        <f>20000*T295</f>
        <v>10000</v>
      </c>
      <c r="AF295" s="202">
        <f t="shared" si="394"/>
        <v>6019.0450000000001</v>
      </c>
      <c r="AG295" s="738">
        <f>7100*T295</f>
        <v>3550</v>
      </c>
      <c r="AH295" s="202">
        <f>AG295-(R295*S295)</f>
        <v>3550</v>
      </c>
      <c r="AI295" s="203">
        <f t="shared" si="396"/>
        <v>0</v>
      </c>
      <c r="AJ295" s="203">
        <f t="shared" si="397"/>
        <v>3147</v>
      </c>
      <c r="AK295" s="203">
        <f>R295*S295</f>
        <v>0</v>
      </c>
      <c r="AL295" s="203">
        <f>R295*T295</f>
        <v>3619.05</v>
      </c>
      <c r="AM295" s="203">
        <f t="shared" si="398"/>
        <v>0</v>
      </c>
      <c r="AN295" s="203">
        <f t="shared" si="398"/>
        <v>472.05000000000018</v>
      </c>
      <c r="AO295" s="205">
        <f>Z295*S295</f>
        <v>0</v>
      </c>
      <c r="AP295" s="205">
        <f>Z295*T295</f>
        <v>361.90500000000003</v>
      </c>
      <c r="AQ295" s="205">
        <f>AA295</f>
        <v>0</v>
      </c>
      <c r="AR295" s="205">
        <f>W295*S295</f>
        <v>0</v>
      </c>
      <c r="AS295" s="205">
        <f>W295*T295</f>
        <v>0</v>
      </c>
      <c r="AT295" s="209">
        <f t="shared" si="387"/>
        <v>0</v>
      </c>
      <c r="AU295" s="209">
        <f t="shared" si="387"/>
        <v>3619.05</v>
      </c>
      <c r="AV295" s="203"/>
      <c r="AW295" s="251">
        <f>R295*T295</f>
        <v>3619.05</v>
      </c>
      <c r="AX295" s="251"/>
      <c r="AY295" s="838">
        <f t="shared" si="399"/>
        <v>3619.05</v>
      </c>
      <c r="AZ295" s="838"/>
      <c r="BA295" s="839"/>
    </row>
    <row r="296" spans="2:53" s="76" customFormat="1">
      <c r="B296" s="703">
        <f t="shared" si="384"/>
        <v>204</v>
      </c>
      <c r="C296" s="197" t="s">
        <v>1025</v>
      </c>
      <c r="D296" s="198" t="s">
        <v>167</v>
      </c>
      <c r="E296" s="703" t="s">
        <v>196</v>
      </c>
      <c r="F296" s="703">
        <v>11</v>
      </c>
      <c r="G296" s="199">
        <v>6294</v>
      </c>
      <c r="H296" s="718"/>
      <c r="I296" s="703"/>
      <c r="J296" s="718"/>
      <c r="K296" s="703"/>
      <c r="L296" s="703"/>
      <c r="M296" s="718"/>
      <c r="N296" s="193"/>
      <c r="O296" s="737">
        <v>0.15</v>
      </c>
      <c r="P296" s="204">
        <f t="shared" si="400"/>
        <v>944.09999999999991</v>
      </c>
      <c r="Q296" s="201"/>
      <c r="R296" s="199">
        <f>G296+I296+K296+L296+N296+P296+Q296</f>
        <v>7238.1</v>
      </c>
      <c r="S296" s="199">
        <v>1</v>
      </c>
      <c r="T296" s="199"/>
      <c r="U296" s="703"/>
      <c r="V296" s="737"/>
      <c r="W296" s="703"/>
      <c r="X296" s="718">
        <v>5</v>
      </c>
      <c r="Y296" s="737">
        <v>0.1</v>
      </c>
      <c r="Z296" s="199">
        <f t="shared" si="391"/>
        <v>723.81000000000006</v>
      </c>
      <c r="AA296" s="199"/>
      <c r="AB296" s="199">
        <f>R296+Z296</f>
        <v>7961.9100000000008</v>
      </c>
      <c r="AC296" s="738">
        <f>AF296</f>
        <v>12038.09</v>
      </c>
      <c r="AD296" s="738">
        <f>AB296+AC296</f>
        <v>20000</v>
      </c>
      <c r="AE296" s="202">
        <f>20000*S296</f>
        <v>20000</v>
      </c>
      <c r="AF296" s="202">
        <f t="shared" si="394"/>
        <v>12038.09</v>
      </c>
      <c r="AG296" s="738">
        <f>7100*S296</f>
        <v>7100</v>
      </c>
      <c r="AH296" s="202">
        <f>AB296-AG296</f>
        <v>861.91000000000076</v>
      </c>
      <c r="AI296" s="203"/>
      <c r="AJ296" s="203"/>
      <c r="AK296" s="203"/>
      <c r="AL296" s="203"/>
      <c r="AM296" s="203"/>
      <c r="AN296" s="203"/>
      <c r="AO296" s="205"/>
      <c r="AP296" s="205"/>
      <c r="AQ296" s="205"/>
      <c r="AR296" s="205"/>
      <c r="AS296" s="205"/>
      <c r="AT296" s="209"/>
      <c r="AU296" s="209"/>
      <c r="AV296" s="203"/>
      <c r="AW296" s="251">
        <f>R296*S296</f>
        <v>7238.1</v>
      </c>
      <c r="AX296" s="251"/>
      <c r="AY296" s="838">
        <f t="shared" si="399"/>
        <v>7238.1</v>
      </c>
      <c r="AZ296" s="838"/>
      <c r="BA296" s="839"/>
    </row>
    <row r="297" spans="2:53" s="76" customFormat="1" ht="58.5">
      <c r="B297" s="703">
        <f>1+B296</f>
        <v>205</v>
      </c>
      <c r="C297" s="197" t="s">
        <v>1025</v>
      </c>
      <c r="D297" s="198" t="s">
        <v>1785</v>
      </c>
      <c r="E297" s="703" t="s">
        <v>1786</v>
      </c>
      <c r="F297" s="703">
        <v>12</v>
      </c>
      <c r="G297" s="199">
        <v>6773</v>
      </c>
      <c r="H297" s="718"/>
      <c r="I297" s="703"/>
      <c r="J297" s="718"/>
      <c r="K297" s="703"/>
      <c r="L297" s="703"/>
      <c r="M297" s="718"/>
      <c r="N297" s="193"/>
      <c r="O297" s="737">
        <v>0.15</v>
      </c>
      <c r="P297" s="204">
        <f t="shared" si="400"/>
        <v>1015.9499999999999</v>
      </c>
      <c r="Q297" s="201"/>
      <c r="R297" s="199">
        <f t="shared" si="401"/>
        <v>7788.95</v>
      </c>
      <c r="S297" s="199"/>
      <c r="T297" s="199">
        <v>0.5</v>
      </c>
      <c r="U297" s="703"/>
      <c r="V297" s="737"/>
      <c r="W297" s="703"/>
      <c r="X297" s="718">
        <v>11</v>
      </c>
      <c r="Y297" s="737">
        <v>0.2</v>
      </c>
      <c r="Z297" s="199">
        <f t="shared" si="391"/>
        <v>1557.79</v>
      </c>
      <c r="AA297" s="199"/>
      <c r="AB297" s="199">
        <f>(R297+Z297)*T297+AA297</f>
        <v>4673.37</v>
      </c>
      <c r="AC297" s="738">
        <f t="shared" si="392"/>
        <v>5326.63</v>
      </c>
      <c r="AD297" s="738">
        <f t="shared" si="393"/>
        <v>10000</v>
      </c>
      <c r="AE297" s="202">
        <f>20000*T297</f>
        <v>10000</v>
      </c>
      <c r="AF297" s="202">
        <f t="shared" si="394"/>
        <v>5326.63</v>
      </c>
      <c r="AG297" s="738">
        <f>7100*T297</f>
        <v>3550</v>
      </c>
      <c r="AH297" s="202">
        <f t="shared" si="395"/>
        <v>1123.3699999999999</v>
      </c>
      <c r="AI297" s="203">
        <f>G297*S297</f>
        <v>0</v>
      </c>
      <c r="AJ297" s="203">
        <f>G297*T297</f>
        <v>3386.5</v>
      </c>
      <c r="AK297" s="203">
        <f>R297*S297</f>
        <v>0</v>
      </c>
      <c r="AL297" s="203">
        <f>R297*T297</f>
        <v>3894.4749999999999</v>
      </c>
      <c r="AM297" s="203">
        <f>AK297-AI297</f>
        <v>0</v>
      </c>
      <c r="AN297" s="203">
        <f>AL297-AJ297</f>
        <v>507.97499999999991</v>
      </c>
      <c r="AO297" s="205">
        <f>Z297*S297</f>
        <v>0</v>
      </c>
      <c r="AP297" s="205">
        <f>Z297*T297</f>
        <v>778.89499999999998</v>
      </c>
      <c r="AQ297" s="205">
        <f>AA297</f>
        <v>0</v>
      </c>
      <c r="AR297" s="205">
        <f>W297*S297</f>
        <v>0</v>
      </c>
      <c r="AS297" s="205">
        <f>W297*T297</f>
        <v>0</v>
      </c>
      <c r="AT297" s="209">
        <f t="shared" si="387"/>
        <v>0</v>
      </c>
      <c r="AU297" s="209">
        <f t="shared" si="387"/>
        <v>3894.4749999999999</v>
      </c>
      <c r="AV297" s="203"/>
      <c r="AW297" s="251">
        <f>R297*T297</f>
        <v>3894.4749999999999</v>
      </c>
      <c r="AX297" s="251"/>
      <c r="AY297" s="838">
        <f t="shared" si="399"/>
        <v>3894.4749999999999</v>
      </c>
      <c r="AZ297" s="838"/>
      <c r="BA297" s="839"/>
    </row>
    <row r="298" spans="2:53" s="76" customFormat="1" ht="87.75">
      <c r="B298" s="703">
        <f t="shared" si="384"/>
        <v>206</v>
      </c>
      <c r="C298" s="197" t="s">
        <v>1025</v>
      </c>
      <c r="D298" s="198" t="s">
        <v>1787</v>
      </c>
      <c r="E298" s="703" t="s">
        <v>1359</v>
      </c>
      <c r="F298" s="703">
        <v>11</v>
      </c>
      <c r="G298" s="199">
        <v>6294</v>
      </c>
      <c r="H298" s="718"/>
      <c r="I298" s="703"/>
      <c r="J298" s="718"/>
      <c r="K298" s="703"/>
      <c r="L298" s="703"/>
      <c r="M298" s="718"/>
      <c r="N298" s="193"/>
      <c r="O298" s="737">
        <v>0.15</v>
      </c>
      <c r="P298" s="204">
        <f t="shared" si="400"/>
        <v>944.09999999999991</v>
      </c>
      <c r="Q298" s="201"/>
      <c r="R298" s="199">
        <f t="shared" si="401"/>
        <v>7238.1</v>
      </c>
      <c r="S298" s="199">
        <v>1</v>
      </c>
      <c r="T298" s="703"/>
      <c r="U298" s="703"/>
      <c r="V298" s="737"/>
      <c r="W298" s="703"/>
      <c r="X298" s="718">
        <v>7</v>
      </c>
      <c r="Y298" s="737">
        <v>0.1</v>
      </c>
      <c r="Z298" s="199">
        <f t="shared" si="391"/>
        <v>723.81000000000006</v>
      </c>
      <c r="AA298" s="199"/>
      <c r="AB298" s="199">
        <f>(R298+Z298)*S298</f>
        <v>7961.9100000000008</v>
      </c>
      <c r="AC298" s="738">
        <f t="shared" si="392"/>
        <v>12038.09</v>
      </c>
      <c r="AD298" s="738">
        <f t="shared" si="393"/>
        <v>20000</v>
      </c>
      <c r="AE298" s="202">
        <f>20000*S298</f>
        <v>20000</v>
      </c>
      <c r="AF298" s="202">
        <f t="shared" si="394"/>
        <v>12038.09</v>
      </c>
      <c r="AG298" s="738">
        <f>7100*S298</f>
        <v>7100</v>
      </c>
      <c r="AH298" s="202">
        <f>AB298-AG298</f>
        <v>861.91000000000076</v>
      </c>
      <c r="AI298" s="203">
        <f t="shared" si="396"/>
        <v>6294</v>
      </c>
      <c r="AJ298" s="203">
        <f t="shared" si="397"/>
        <v>0</v>
      </c>
      <c r="AK298" s="203">
        <f>R298*S298</f>
        <v>7238.1</v>
      </c>
      <c r="AL298" s="203">
        <f>R298*T298</f>
        <v>0</v>
      </c>
      <c r="AM298" s="203">
        <f>AK298-AI298</f>
        <v>944.10000000000036</v>
      </c>
      <c r="AN298" s="203">
        <f>AL298-AJ298</f>
        <v>0</v>
      </c>
      <c r="AO298" s="205">
        <f>Z298*S298</f>
        <v>723.81000000000006</v>
      </c>
      <c r="AP298" s="205">
        <f>Z298*T298</f>
        <v>0</v>
      </c>
      <c r="AQ298" s="205">
        <f>AA298</f>
        <v>0</v>
      </c>
      <c r="AR298" s="205">
        <f>W298*S298</f>
        <v>0</v>
      </c>
      <c r="AS298" s="205">
        <f>W298*T298</f>
        <v>0</v>
      </c>
      <c r="AT298" s="209">
        <f t="shared" si="387"/>
        <v>7238.1</v>
      </c>
      <c r="AU298" s="209">
        <f t="shared" si="387"/>
        <v>0</v>
      </c>
      <c r="AV298" s="203"/>
      <c r="AW298" s="251">
        <f>R298*S298</f>
        <v>7238.1</v>
      </c>
      <c r="AX298" s="251"/>
      <c r="AY298" s="838">
        <f t="shared" si="399"/>
        <v>7238.1</v>
      </c>
      <c r="AZ298" s="838"/>
      <c r="BA298" s="839"/>
    </row>
    <row r="299" spans="2:53" s="76" customFormat="1">
      <c r="B299" s="703"/>
      <c r="C299" s="180" t="s">
        <v>1736</v>
      </c>
      <c r="D299" s="207"/>
      <c r="E299" s="193"/>
      <c r="F299" s="193"/>
      <c r="G299" s="183">
        <f>SUM(G291:G298)</f>
        <v>56583</v>
      </c>
      <c r="H299" s="752"/>
      <c r="I299" s="183"/>
      <c r="J299" s="754"/>
      <c r="K299" s="185"/>
      <c r="L299" s="193"/>
      <c r="M299" s="731"/>
      <c r="N299" s="193"/>
      <c r="O299" s="731"/>
      <c r="P299" s="184">
        <f>SUM(P291:P298)</f>
        <v>8487.4499999999989</v>
      </c>
      <c r="Q299" s="193"/>
      <c r="R299" s="183">
        <f>SUM(R291:R298)</f>
        <v>68008.61</v>
      </c>
      <c r="S299" s="183">
        <f>SUM(S291:S298)</f>
        <v>6</v>
      </c>
      <c r="T299" s="183">
        <f>SUM(T291:T298)</f>
        <v>1</v>
      </c>
      <c r="U299" s="183"/>
      <c r="V299" s="742"/>
      <c r="W299" s="183"/>
      <c r="X299" s="742"/>
      <c r="Y299" s="742"/>
      <c r="Z299" s="183">
        <f>SUM(Z291:Z298)</f>
        <v>12613.287999999999</v>
      </c>
      <c r="AA299" s="183">
        <f>SUM(AA291:AA298)</f>
        <v>0</v>
      </c>
      <c r="AB299" s="183">
        <f>SUM(AB291:AB298)</f>
        <v>71967.573000000004</v>
      </c>
      <c r="AC299" s="183">
        <f>SUM(AC291:AC298)</f>
        <v>68032.427000000011</v>
      </c>
      <c r="AD299" s="183">
        <f>SUM(AD291:AD298)</f>
        <v>140000</v>
      </c>
      <c r="AE299" s="183">
        <f t="shared" ref="AE299:AV299" si="402">SUM(AE291:AE298)</f>
        <v>140000</v>
      </c>
      <c r="AF299" s="183">
        <f t="shared" si="402"/>
        <v>68032.427000000011</v>
      </c>
      <c r="AG299" s="183">
        <f>SUM(AG291:AG298)</f>
        <v>49700</v>
      </c>
      <c r="AH299" s="183">
        <f t="shared" si="402"/>
        <v>25386.617999999991</v>
      </c>
      <c r="AI299" s="183">
        <f t="shared" si="402"/>
        <v>37222</v>
      </c>
      <c r="AJ299" s="183">
        <f t="shared" si="402"/>
        <v>6533.5</v>
      </c>
      <c r="AK299" s="183">
        <f t="shared" si="402"/>
        <v>45743.46</v>
      </c>
      <c r="AL299" s="183">
        <f t="shared" si="402"/>
        <v>7513.5249999999996</v>
      </c>
      <c r="AM299" s="183">
        <f t="shared" si="402"/>
        <v>8521.4599999999973</v>
      </c>
      <c r="AN299" s="183">
        <f t="shared" si="402"/>
        <v>980.02500000000009</v>
      </c>
      <c r="AO299" s="183">
        <f t="shared" si="402"/>
        <v>9607.8779999999988</v>
      </c>
      <c r="AP299" s="183">
        <f t="shared" si="402"/>
        <v>1140.8</v>
      </c>
      <c r="AQ299" s="183">
        <f t="shared" si="402"/>
        <v>0</v>
      </c>
      <c r="AR299" s="183">
        <f t="shared" si="402"/>
        <v>0</v>
      </c>
      <c r="AS299" s="183">
        <f t="shared" si="402"/>
        <v>0</v>
      </c>
      <c r="AT299" s="183">
        <f t="shared" si="402"/>
        <v>45743.46</v>
      </c>
      <c r="AU299" s="183">
        <f t="shared" si="402"/>
        <v>7513.5249999999996</v>
      </c>
      <c r="AV299" s="183">
        <f t="shared" si="402"/>
        <v>0</v>
      </c>
      <c r="AW299" s="183">
        <f>SUM(AW291:AW298)</f>
        <v>60495.084999999999</v>
      </c>
      <c r="AX299" s="251"/>
      <c r="AY299" s="839"/>
      <c r="AZ299" s="838"/>
      <c r="BA299" s="839"/>
    </row>
    <row r="300" spans="2:53" s="76" customFormat="1">
      <c r="B300" s="703"/>
      <c r="C300" s="220" t="s">
        <v>1581</v>
      </c>
      <c r="D300" s="192"/>
      <c r="E300" s="193"/>
      <c r="F300" s="193"/>
      <c r="G300" s="193"/>
      <c r="H300" s="731"/>
      <c r="I300" s="193"/>
      <c r="J300" s="731"/>
      <c r="K300" s="193"/>
      <c r="L300" s="193"/>
      <c r="M300" s="731"/>
      <c r="N300" s="193"/>
      <c r="O300" s="731"/>
      <c r="P300" s="193"/>
      <c r="Q300" s="193"/>
      <c r="R300" s="193"/>
      <c r="S300" s="193"/>
      <c r="T300" s="193"/>
      <c r="U300" s="193"/>
      <c r="V300" s="732"/>
      <c r="W300" s="193"/>
      <c r="X300" s="732"/>
      <c r="Y300" s="732"/>
      <c r="Z300" s="193"/>
      <c r="AA300" s="193"/>
      <c r="AB300" s="193"/>
      <c r="AC300" s="195"/>
      <c r="AD300" s="195"/>
      <c r="AE300" s="195"/>
      <c r="AF300" s="195"/>
      <c r="AG300" s="195"/>
      <c r="AH300" s="195"/>
      <c r="AI300" s="203"/>
      <c r="AJ300" s="203"/>
      <c r="AK300" s="203"/>
      <c r="AL300" s="203"/>
      <c r="AM300" s="203"/>
      <c r="AN300" s="203"/>
      <c r="AO300" s="205"/>
      <c r="AP300" s="205"/>
      <c r="AQ300" s="205"/>
      <c r="AR300" s="205"/>
      <c r="AS300" s="205"/>
      <c r="AT300" s="209"/>
      <c r="AU300" s="209"/>
      <c r="AV300" s="203"/>
      <c r="AW300" s="251"/>
      <c r="AX300" s="251"/>
      <c r="AY300" s="839"/>
      <c r="AZ300" s="838"/>
      <c r="BA300" s="839"/>
    </row>
    <row r="301" spans="2:53" s="76" customFormat="1" ht="63">
      <c r="B301" s="703">
        <f>B298+1</f>
        <v>207</v>
      </c>
      <c r="C301" s="197" t="s">
        <v>1080</v>
      </c>
      <c r="D301" s="198" t="s">
        <v>1805</v>
      </c>
      <c r="E301" s="703" t="s">
        <v>1142</v>
      </c>
      <c r="F301" s="703">
        <v>10</v>
      </c>
      <c r="G301" s="199">
        <v>5815</v>
      </c>
      <c r="H301" s="737">
        <v>0.1</v>
      </c>
      <c r="I301" s="703">
        <f>G301*H301</f>
        <v>581.5</v>
      </c>
      <c r="J301" s="741"/>
      <c r="K301" s="206"/>
      <c r="L301" s="206"/>
      <c r="M301" s="741"/>
      <c r="N301" s="206"/>
      <c r="O301" s="737">
        <v>0.15</v>
      </c>
      <c r="P301" s="199">
        <f>(G301+I301)*O301</f>
        <v>959.47499999999991</v>
      </c>
      <c r="Q301" s="206"/>
      <c r="R301" s="199">
        <f>G301+I301+K301+L301+N301+P301+Q301</f>
        <v>7355.9750000000004</v>
      </c>
      <c r="S301" s="199">
        <v>1</v>
      </c>
      <c r="T301" s="206"/>
      <c r="U301" s="206"/>
      <c r="V301" s="741"/>
      <c r="W301" s="206"/>
      <c r="X301" s="718">
        <v>30</v>
      </c>
      <c r="Y301" s="737">
        <v>0.3</v>
      </c>
      <c r="Z301" s="199">
        <f>R301*Y301</f>
        <v>2206.7925</v>
      </c>
      <c r="AA301" s="199"/>
      <c r="AB301" s="199">
        <f>(R301+Z301)*S301</f>
        <v>9562.7674999999999</v>
      </c>
      <c r="AC301" s="738">
        <f t="shared" ref="AC301:AC312" si="403">AF301</f>
        <v>3937.2325000000001</v>
      </c>
      <c r="AD301" s="738">
        <f t="shared" ref="AD301:AD312" si="404">AB301+AC301</f>
        <v>13500</v>
      </c>
      <c r="AE301" s="202">
        <f>13500*S301</f>
        <v>13500</v>
      </c>
      <c r="AF301" s="202">
        <f t="shared" ref="AF301:AF312" si="405">AE301-AB301</f>
        <v>3937.2325000000001</v>
      </c>
      <c r="AG301" s="738">
        <f>7100*S301</f>
        <v>7100</v>
      </c>
      <c r="AH301" s="202"/>
      <c r="AI301" s="203">
        <f t="shared" ref="AI301:AI312" si="406">G301*S301</f>
        <v>5815</v>
      </c>
      <c r="AJ301" s="203">
        <f>G301*T301</f>
        <v>0</v>
      </c>
      <c r="AK301" s="203">
        <f t="shared" ref="AK301:AK312" si="407">R301*S301</f>
        <v>7355.9750000000004</v>
      </c>
      <c r="AL301" s="203">
        <f>R301*T301</f>
        <v>0</v>
      </c>
      <c r="AM301" s="203">
        <f t="shared" ref="AM301:AN312" si="408">AK301-AI301</f>
        <v>1540.9750000000004</v>
      </c>
      <c r="AN301" s="203">
        <f t="shared" si="408"/>
        <v>0</v>
      </c>
      <c r="AO301" s="205">
        <f t="shared" ref="AO301:AO312" si="409">Z301*S301</f>
        <v>2206.7925</v>
      </c>
      <c r="AP301" s="205">
        <f t="shared" ref="AP301:AP312" si="410">Z301*T301</f>
        <v>0</v>
      </c>
      <c r="AQ301" s="205">
        <f t="shared" ref="AQ301:AQ312" si="411">AA301</f>
        <v>0</v>
      </c>
      <c r="AR301" s="205">
        <f t="shared" ref="AR301:AR311" si="412">W301*S301</f>
        <v>0</v>
      </c>
      <c r="AS301" s="205">
        <f t="shared" ref="AS301:AS311" si="413">W301*T301</f>
        <v>0</v>
      </c>
      <c r="AT301" s="209">
        <f t="shared" si="387"/>
        <v>7355.9750000000004</v>
      </c>
      <c r="AU301" s="209">
        <f t="shared" si="387"/>
        <v>0</v>
      </c>
      <c r="AV301" s="203"/>
      <c r="AW301" s="251">
        <f>R301*S301</f>
        <v>7355.9750000000004</v>
      </c>
      <c r="AX301" s="251"/>
      <c r="AY301" s="838">
        <f t="shared" ref="AY301:AY312" si="414">AW301</f>
        <v>7355.9750000000004</v>
      </c>
      <c r="AZ301" s="838"/>
      <c r="BA301" s="839"/>
    </row>
    <row r="302" spans="2:53" s="76" customFormat="1" ht="87.75">
      <c r="B302" s="703">
        <f t="shared" si="384"/>
        <v>208</v>
      </c>
      <c r="C302" s="197" t="s">
        <v>1096</v>
      </c>
      <c r="D302" s="198" t="s">
        <v>1369</v>
      </c>
      <c r="E302" s="703" t="s">
        <v>1145</v>
      </c>
      <c r="F302" s="703">
        <v>10</v>
      </c>
      <c r="G302" s="199">
        <v>5815</v>
      </c>
      <c r="H302" s="736"/>
      <c r="I302" s="199"/>
      <c r="J302" s="736"/>
      <c r="K302" s="199"/>
      <c r="L302" s="199"/>
      <c r="M302" s="736"/>
      <c r="N302" s="199"/>
      <c r="O302" s="737">
        <v>0.15</v>
      </c>
      <c r="P302" s="199">
        <f t="shared" ref="P302:P312" si="415">(G302+I302)*O302</f>
        <v>872.25</v>
      </c>
      <c r="Q302" s="199"/>
      <c r="R302" s="199">
        <f t="shared" ref="R302:R310" si="416">G302+I302+K302+L302+N302+P302+Q302</f>
        <v>6687.25</v>
      </c>
      <c r="S302" s="199">
        <v>1</v>
      </c>
      <c r="T302" s="206"/>
      <c r="U302" s="206"/>
      <c r="V302" s="741"/>
      <c r="W302" s="206"/>
      <c r="X302" s="718">
        <v>33</v>
      </c>
      <c r="Y302" s="737">
        <v>0.3</v>
      </c>
      <c r="Z302" s="199">
        <f t="shared" ref="Z302:Z311" si="417">R302*Y302</f>
        <v>2006.175</v>
      </c>
      <c r="AA302" s="199"/>
      <c r="AB302" s="199">
        <f>(R302+Z302)*S302</f>
        <v>8693.4249999999993</v>
      </c>
      <c r="AC302" s="738">
        <f t="shared" si="403"/>
        <v>4806.5750000000007</v>
      </c>
      <c r="AD302" s="738">
        <f t="shared" si="404"/>
        <v>13500</v>
      </c>
      <c r="AE302" s="202">
        <f>13500*S302</f>
        <v>13500</v>
      </c>
      <c r="AF302" s="202">
        <f t="shared" si="405"/>
        <v>4806.5750000000007</v>
      </c>
      <c r="AG302" s="738">
        <f t="shared" ref="AG302:AG312" si="418">7100*S302</f>
        <v>7100</v>
      </c>
      <c r="AH302" s="202"/>
      <c r="AI302" s="203">
        <f t="shared" si="406"/>
        <v>5815</v>
      </c>
      <c r="AJ302" s="203">
        <f>G302*T302</f>
        <v>0</v>
      </c>
      <c r="AK302" s="203">
        <f t="shared" si="407"/>
        <v>6687.25</v>
      </c>
      <c r="AL302" s="203">
        <f>R302*T302</f>
        <v>0</v>
      </c>
      <c r="AM302" s="203">
        <f t="shared" si="408"/>
        <v>872.25</v>
      </c>
      <c r="AN302" s="203">
        <f t="shared" si="408"/>
        <v>0</v>
      </c>
      <c r="AO302" s="205">
        <f t="shared" si="409"/>
        <v>2006.175</v>
      </c>
      <c r="AP302" s="205">
        <f t="shared" si="410"/>
        <v>0</v>
      </c>
      <c r="AQ302" s="205">
        <f t="shared" si="411"/>
        <v>0</v>
      </c>
      <c r="AR302" s="205">
        <f t="shared" si="412"/>
        <v>0</v>
      </c>
      <c r="AS302" s="205">
        <f t="shared" si="413"/>
        <v>0</v>
      </c>
      <c r="AT302" s="209">
        <f t="shared" si="387"/>
        <v>6687.25</v>
      </c>
      <c r="AU302" s="209">
        <f t="shared" si="387"/>
        <v>0</v>
      </c>
      <c r="AV302" s="203"/>
      <c r="AW302" s="251">
        <f>R302*S302</f>
        <v>6687.25</v>
      </c>
      <c r="AX302" s="251"/>
      <c r="AY302" s="838">
        <f t="shared" si="414"/>
        <v>6687.25</v>
      </c>
      <c r="AZ302" s="838"/>
      <c r="BA302" s="839"/>
    </row>
    <row r="303" spans="2:53" s="76" customFormat="1" ht="87.75">
      <c r="B303" s="703">
        <f t="shared" si="384"/>
        <v>209</v>
      </c>
      <c r="C303" s="197" t="s">
        <v>1096</v>
      </c>
      <c r="D303" s="198" t="s">
        <v>1866</v>
      </c>
      <c r="E303" s="703" t="s">
        <v>1146</v>
      </c>
      <c r="F303" s="703">
        <v>10</v>
      </c>
      <c r="G303" s="199">
        <v>5815</v>
      </c>
      <c r="H303" s="736"/>
      <c r="I303" s="199"/>
      <c r="J303" s="736"/>
      <c r="K303" s="199"/>
      <c r="L303" s="199"/>
      <c r="M303" s="736"/>
      <c r="N303" s="199"/>
      <c r="O303" s="737">
        <v>0.15</v>
      </c>
      <c r="P303" s="199">
        <f t="shared" si="415"/>
        <v>872.25</v>
      </c>
      <c r="Q303" s="199"/>
      <c r="R303" s="199">
        <f t="shared" si="416"/>
        <v>6687.25</v>
      </c>
      <c r="S303" s="199">
        <v>1</v>
      </c>
      <c r="T303" s="199"/>
      <c r="U303" s="199"/>
      <c r="V303" s="736"/>
      <c r="W303" s="199"/>
      <c r="X303" s="718">
        <v>36</v>
      </c>
      <c r="Y303" s="737">
        <v>0.3</v>
      </c>
      <c r="Z303" s="199">
        <f t="shared" si="417"/>
        <v>2006.175</v>
      </c>
      <c r="AA303" s="199"/>
      <c r="AB303" s="199">
        <f>(R303+Z303)*S303</f>
        <v>8693.4249999999993</v>
      </c>
      <c r="AC303" s="738">
        <f t="shared" si="403"/>
        <v>4806.5750000000007</v>
      </c>
      <c r="AD303" s="738">
        <f t="shared" si="404"/>
        <v>13500</v>
      </c>
      <c r="AE303" s="202">
        <f t="shared" ref="AE303:AE312" si="419">13500*S303</f>
        <v>13500</v>
      </c>
      <c r="AF303" s="202">
        <f t="shared" si="405"/>
        <v>4806.5750000000007</v>
      </c>
      <c r="AG303" s="738">
        <f t="shared" si="418"/>
        <v>7100</v>
      </c>
      <c r="AH303" s="202"/>
      <c r="AI303" s="203">
        <f t="shared" si="406"/>
        <v>5815</v>
      </c>
      <c r="AJ303" s="203">
        <f>G303*T303</f>
        <v>0</v>
      </c>
      <c r="AK303" s="203">
        <f t="shared" si="407"/>
        <v>6687.25</v>
      </c>
      <c r="AL303" s="203">
        <f>R303*T303</f>
        <v>0</v>
      </c>
      <c r="AM303" s="203">
        <f t="shared" si="408"/>
        <v>872.25</v>
      </c>
      <c r="AN303" s="203">
        <f t="shared" si="408"/>
        <v>0</v>
      </c>
      <c r="AO303" s="205">
        <f t="shared" si="409"/>
        <v>2006.175</v>
      </c>
      <c r="AP303" s="205">
        <f t="shared" si="410"/>
        <v>0</v>
      </c>
      <c r="AQ303" s="205">
        <f t="shared" si="411"/>
        <v>0</v>
      </c>
      <c r="AR303" s="205">
        <f t="shared" si="412"/>
        <v>0</v>
      </c>
      <c r="AS303" s="205">
        <f t="shared" si="413"/>
        <v>0</v>
      </c>
      <c r="AT303" s="209">
        <f t="shared" si="387"/>
        <v>6687.25</v>
      </c>
      <c r="AU303" s="209">
        <f t="shared" si="387"/>
        <v>0</v>
      </c>
      <c r="AV303" s="203"/>
      <c r="AW303" s="251">
        <f>R303*S303</f>
        <v>6687.25</v>
      </c>
      <c r="AX303" s="251"/>
      <c r="AY303" s="838">
        <f t="shared" si="414"/>
        <v>6687.25</v>
      </c>
      <c r="AZ303" s="838"/>
      <c r="BA303" s="839"/>
    </row>
    <row r="304" spans="2:53" s="76" customFormat="1" ht="87.75">
      <c r="B304" s="703">
        <f t="shared" si="384"/>
        <v>210</v>
      </c>
      <c r="C304" s="197" t="s">
        <v>1096</v>
      </c>
      <c r="D304" s="198" t="s">
        <v>1806</v>
      </c>
      <c r="E304" s="703" t="s">
        <v>1097</v>
      </c>
      <c r="F304" s="703">
        <v>10</v>
      </c>
      <c r="G304" s="199">
        <v>5815</v>
      </c>
      <c r="H304" s="736"/>
      <c r="I304" s="199"/>
      <c r="J304" s="736"/>
      <c r="K304" s="199"/>
      <c r="L304" s="199"/>
      <c r="M304" s="736"/>
      <c r="N304" s="199"/>
      <c r="O304" s="737">
        <v>0.15</v>
      </c>
      <c r="P304" s="199">
        <f t="shared" si="415"/>
        <v>872.25</v>
      </c>
      <c r="Q304" s="199"/>
      <c r="R304" s="199">
        <f t="shared" si="416"/>
        <v>6687.25</v>
      </c>
      <c r="S304" s="199">
        <v>1</v>
      </c>
      <c r="T304" s="199"/>
      <c r="U304" s="199"/>
      <c r="V304" s="736"/>
      <c r="W304" s="199"/>
      <c r="X304" s="718">
        <v>29</v>
      </c>
      <c r="Y304" s="737">
        <v>0.3</v>
      </c>
      <c r="Z304" s="199">
        <f t="shared" si="417"/>
        <v>2006.175</v>
      </c>
      <c r="AA304" s="199"/>
      <c r="AB304" s="199">
        <f>(R304+Z304)*S304+AA304</f>
        <v>8693.4249999999993</v>
      </c>
      <c r="AC304" s="738">
        <f t="shared" si="403"/>
        <v>4806.5750000000007</v>
      </c>
      <c r="AD304" s="738">
        <f t="shared" si="404"/>
        <v>13500</v>
      </c>
      <c r="AE304" s="202">
        <f t="shared" si="419"/>
        <v>13500</v>
      </c>
      <c r="AF304" s="202">
        <f t="shared" si="405"/>
        <v>4806.5750000000007</v>
      </c>
      <c r="AG304" s="738">
        <f t="shared" si="418"/>
        <v>7100</v>
      </c>
      <c r="AH304" s="202"/>
      <c r="AI304" s="203">
        <f t="shared" si="406"/>
        <v>5815</v>
      </c>
      <c r="AJ304" s="203">
        <f>G304*T304</f>
        <v>0</v>
      </c>
      <c r="AK304" s="203">
        <f t="shared" si="407"/>
        <v>6687.25</v>
      </c>
      <c r="AL304" s="203">
        <f>R304*T304</f>
        <v>0</v>
      </c>
      <c r="AM304" s="203">
        <f t="shared" si="408"/>
        <v>872.25</v>
      </c>
      <c r="AN304" s="203">
        <f t="shared" si="408"/>
        <v>0</v>
      </c>
      <c r="AO304" s="205">
        <f t="shared" si="409"/>
        <v>2006.175</v>
      </c>
      <c r="AP304" s="205">
        <f t="shared" si="410"/>
        <v>0</v>
      </c>
      <c r="AQ304" s="205">
        <f t="shared" si="411"/>
        <v>0</v>
      </c>
      <c r="AR304" s="205">
        <f t="shared" si="412"/>
        <v>0</v>
      </c>
      <c r="AS304" s="205">
        <f t="shared" si="413"/>
        <v>0</v>
      </c>
      <c r="AT304" s="209">
        <f t="shared" si="387"/>
        <v>6687.25</v>
      </c>
      <c r="AU304" s="209">
        <f t="shared" si="387"/>
        <v>0</v>
      </c>
      <c r="AV304" s="203"/>
      <c r="AW304" s="251">
        <f>R304*S304</f>
        <v>6687.25</v>
      </c>
      <c r="AX304" s="251"/>
      <c r="AY304" s="838">
        <f t="shared" si="414"/>
        <v>6687.25</v>
      </c>
      <c r="AZ304" s="838"/>
      <c r="BA304" s="839"/>
    </row>
    <row r="305" spans="2:53" s="76" customFormat="1" ht="87.75">
      <c r="B305" s="703">
        <f t="shared" si="384"/>
        <v>211</v>
      </c>
      <c r="C305" s="197" t="s">
        <v>1096</v>
      </c>
      <c r="D305" s="198" t="s">
        <v>1806</v>
      </c>
      <c r="E305" s="703" t="s">
        <v>1147</v>
      </c>
      <c r="F305" s="703">
        <v>10</v>
      </c>
      <c r="G305" s="199">
        <v>5815</v>
      </c>
      <c r="H305" s="736"/>
      <c r="I305" s="199"/>
      <c r="J305" s="736"/>
      <c r="K305" s="199"/>
      <c r="L305" s="199"/>
      <c r="M305" s="736"/>
      <c r="N305" s="199"/>
      <c r="O305" s="737">
        <v>0.15</v>
      </c>
      <c r="P305" s="199">
        <f t="shared" si="415"/>
        <v>872.25</v>
      </c>
      <c r="Q305" s="206"/>
      <c r="R305" s="199">
        <f t="shared" si="416"/>
        <v>6687.25</v>
      </c>
      <c r="S305" s="199">
        <v>1</v>
      </c>
      <c r="T305" s="199"/>
      <c r="U305" s="206"/>
      <c r="V305" s="741"/>
      <c r="W305" s="206"/>
      <c r="X305" s="718">
        <v>35</v>
      </c>
      <c r="Y305" s="737">
        <v>0.3</v>
      </c>
      <c r="Z305" s="199">
        <f t="shared" si="417"/>
        <v>2006.175</v>
      </c>
      <c r="AA305" s="199"/>
      <c r="AB305" s="199">
        <f>(R305+Z305)*S305+AA305</f>
        <v>8693.4249999999993</v>
      </c>
      <c r="AC305" s="738">
        <f t="shared" si="403"/>
        <v>4806.5750000000007</v>
      </c>
      <c r="AD305" s="738">
        <f t="shared" si="404"/>
        <v>13500</v>
      </c>
      <c r="AE305" s="202">
        <f t="shared" si="419"/>
        <v>13500</v>
      </c>
      <c r="AF305" s="202">
        <f t="shared" si="405"/>
        <v>4806.5750000000007</v>
      </c>
      <c r="AG305" s="738">
        <f t="shared" si="418"/>
        <v>7100</v>
      </c>
      <c r="AH305" s="202"/>
      <c r="AI305" s="203">
        <f>G305*S305</f>
        <v>5815</v>
      </c>
      <c r="AJ305" s="203">
        <f>G305*T305</f>
        <v>0</v>
      </c>
      <c r="AK305" s="203">
        <f t="shared" si="407"/>
        <v>6687.25</v>
      </c>
      <c r="AL305" s="203">
        <f>R305*T305</f>
        <v>0</v>
      </c>
      <c r="AM305" s="203">
        <f t="shared" si="408"/>
        <v>872.25</v>
      </c>
      <c r="AN305" s="203">
        <f t="shared" si="408"/>
        <v>0</v>
      </c>
      <c r="AO305" s="205">
        <f t="shared" si="409"/>
        <v>2006.175</v>
      </c>
      <c r="AP305" s="205">
        <f t="shared" si="410"/>
        <v>0</v>
      </c>
      <c r="AQ305" s="205">
        <f t="shared" si="411"/>
        <v>0</v>
      </c>
      <c r="AR305" s="205">
        <f t="shared" si="412"/>
        <v>0</v>
      </c>
      <c r="AS305" s="205">
        <f t="shared" si="413"/>
        <v>0</v>
      </c>
      <c r="AT305" s="209">
        <f t="shared" si="387"/>
        <v>6687.25</v>
      </c>
      <c r="AU305" s="209">
        <f t="shared" si="387"/>
        <v>0</v>
      </c>
      <c r="AV305" s="203"/>
      <c r="AW305" s="251">
        <f>R305*S305</f>
        <v>6687.25</v>
      </c>
      <c r="AX305" s="251"/>
      <c r="AY305" s="838">
        <f t="shared" si="414"/>
        <v>6687.25</v>
      </c>
      <c r="AZ305" s="838"/>
      <c r="BA305" s="839"/>
    </row>
    <row r="306" spans="2:53" s="76" customFormat="1" ht="63">
      <c r="B306" s="703">
        <f t="shared" si="384"/>
        <v>212</v>
      </c>
      <c r="C306" s="197" t="s">
        <v>1064</v>
      </c>
      <c r="D306" s="198" t="s">
        <v>197</v>
      </c>
      <c r="E306" s="703" t="s">
        <v>1143</v>
      </c>
      <c r="F306" s="703">
        <v>10</v>
      </c>
      <c r="G306" s="199">
        <v>5815</v>
      </c>
      <c r="H306" s="736"/>
      <c r="I306" s="199"/>
      <c r="J306" s="736"/>
      <c r="K306" s="199"/>
      <c r="L306" s="199"/>
      <c r="M306" s="736"/>
      <c r="N306" s="199"/>
      <c r="O306" s="737">
        <v>0.15</v>
      </c>
      <c r="P306" s="199">
        <f t="shared" si="415"/>
        <v>872.25</v>
      </c>
      <c r="Q306" s="199"/>
      <c r="R306" s="199">
        <f>G306+I306+K306+L306+N306+P306+Q306</f>
        <v>6687.25</v>
      </c>
      <c r="S306" s="199"/>
      <c r="T306" s="199">
        <v>0.25</v>
      </c>
      <c r="U306" s="199"/>
      <c r="V306" s="736"/>
      <c r="W306" s="199"/>
      <c r="X306" s="718">
        <v>28</v>
      </c>
      <c r="Y306" s="737">
        <v>0.3</v>
      </c>
      <c r="Z306" s="199">
        <f>R306*Y306</f>
        <v>2006.175</v>
      </c>
      <c r="AA306" s="199"/>
      <c r="AB306" s="199">
        <f>(R306+Z306)*T306+AA306</f>
        <v>2173.3562499999998</v>
      </c>
      <c r="AC306" s="738">
        <f>AF306</f>
        <v>1201.6437500000002</v>
      </c>
      <c r="AD306" s="738">
        <f>AB306+AC306</f>
        <v>3375</v>
      </c>
      <c r="AE306" s="202">
        <f>13500*T306</f>
        <v>3375</v>
      </c>
      <c r="AF306" s="202">
        <f>AE306-AB306</f>
        <v>1201.6437500000002</v>
      </c>
      <c r="AG306" s="738">
        <f>7100*T306</f>
        <v>1775</v>
      </c>
      <c r="AH306" s="202">
        <f>AG306-(R306*S306)-Z306</f>
        <v>-231.17499999999995</v>
      </c>
      <c r="AI306" s="203">
        <f>G306*T306</f>
        <v>1453.75</v>
      </c>
      <c r="AJ306" s="203">
        <f t="shared" ref="AJ306:AJ312" si="420">G306*T306</f>
        <v>1453.75</v>
      </c>
      <c r="AK306" s="203">
        <f>R306*T306</f>
        <v>1671.8125</v>
      </c>
      <c r="AL306" s="203">
        <f t="shared" ref="AL306:AL312" si="421">R306*T306</f>
        <v>1671.8125</v>
      </c>
      <c r="AM306" s="203">
        <f>AK306-AI306</f>
        <v>218.0625</v>
      </c>
      <c r="AN306" s="203">
        <f t="shared" si="408"/>
        <v>218.0625</v>
      </c>
      <c r="AO306" s="205">
        <f>Z306*T306</f>
        <v>501.54374999999999</v>
      </c>
      <c r="AP306" s="205">
        <f>Z306*T306</f>
        <v>501.54374999999999</v>
      </c>
      <c r="AQ306" s="205">
        <f t="shared" si="411"/>
        <v>0</v>
      </c>
      <c r="AR306" s="205">
        <f>W306*T306</f>
        <v>0</v>
      </c>
      <c r="AS306" s="205">
        <f t="shared" si="413"/>
        <v>0</v>
      </c>
      <c r="AT306" s="209">
        <f t="shared" si="387"/>
        <v>1671.8125</v>
      </c>
      <c r="AU306" s="209">
        <f t="shared" si="387"/>
        <v>1671.8125</v>
      </c>
      <c r="AV306" s="203"/>
      <c r="AW306" s="251">
        <f>R306*T306</f>
        <v>1671.8125</v>
      </c>
      <c r="AX306" s="251"/>
      <c r="AY306" s="838">
        <f t="shared" si="414"/>
        <v>1671.8125</v>
      </c>
      <c r="AZ306" s="838"/>
      <c r="BA306" s="839"/>
    </row>
    <row r="307" spans="2:53" s="76" customFormat="1" ht="63">
      <c r="B307" s="703">
        <f t="shared" si="384"/>
        <v>213</v>
      </c>
      <c r="C307" s="197" t="s">
        <v>1064</v>
      </c>
      <c r="D307" s="198" t="s">
        <v>198</v>
      </c>
      <c r="E307" s="703" t="s">
        <v>199</v>
      </c>
      <c r="F307" s="703">
        <v>9</v>
      </c>
      <c r="G307" s="199">
        <v>5527</v>
      </c>
      <c r="H307" s="736"/>
      <c r="I307" s="199"/>
      <c r="J307" s="736"/>
      <c r="K307" s="199"/>
      <c r="L307" s="199"/>
      <c r="M307" s="736"/>
      <c r="N307" s="199"/>
      <c r="O307" s="737">
        <v>0.15</v>
      </c>
      <c r="P307" s="199">
        <f t="shared" si="415"/>
        <v>829.05</v>
      </c>
      <c r="Q307" s="199"/>
      <c r="R307" s="199">
        <f>G307+I307+K307+L307+N307+P307+Q307</f>
        <v>6356.05</v>
      </c>
      <c r="S307" s="199">
        <v>1</v>
      </c>
      <c r="T307" s="199"/>
      <c r="U307" s="199"/>
      <c r="V307" s="736"/>
      <c r="W307" s="199"/>
      <c r="X307" s="718">
        <v>14</v>
      </c>
      <c r="Y307" s="737">
        <v>0.2</v>
      </c>
      <c r="Z307" s="199">
        <f>R307*Y307</f>
        <v>1271.21</v>
      </c>
      <c r="AA307" s="199"/>
      <c r="AB307" s="199">
        <f>(R307+Z307)*S307+AA307</f>
        <v>7627.26</v>
      </c>
      <c r="AC307" s="738">
        <f>AF307</f>
        <v>5872.74</v>
      </c>
      <c r="AD307" s="738">
        <f>AB307+AC307</f>
        <v>13500</v>
      </c>
      <c r="AE307" s="202">
        <f>13500*S307</f>
        <v>13500</v>
      </c>
      <c r="AF307" s="202">
        <f>AE307-AB307</f>
        <v>5872.74</v>
      </c>
      <c r="AG307" s="738">
        <f>7100*S307</f>
        <v>7100</v>
      </c>
      <c r="AH307" s="202">
        <f>AG307-(R307*S307)-Z307</f>
        <v>-527.26000000000022</v>
      </c>
      <c r="AI307" s="203">
        <f>G307*S307</f>
        <v>5527</v>
      </c>
      <c r="AJ307" s="203">
        <f t="shared" si="420"/>
        <v>0</v>
      </c>
      <c r="AK307" s="203">
        <f>R307*S307</f>
        <v>6356.05</v>
      </c>
      <c r="AL307" s="203">
        <f t="shared" si="421"/>
        <v>0</v>
      </c>
      <c r="AM307" s="203">
        <f>AK307-AI307</f>
        <v>829.05000000000018</v>
      </c>
      <c r="AN307" s="203">
        <f t="shared" si="408"/>
        <v>0</v>
      </c>
      <c r="AO307" s="205">
        <f>Z307*S307</f>
        <v>1271.21</v>
      </c>
      <c r="AP307" s="205">
        <f>Z307*S307</f>
        <v>1271.21</v>
      </c>
      <c r="AQ307" s="205">
        <f>AA307</f>
        <v>0</v>
      </c>
      <c r="AR307" s="205">
        <f>W307*S307</f>
        <v>0</v>
      </c>
      <c r="AS307" s="205">
        <f>W307*T307</f>
        <v>0</v>
      </c>
      <c r="AT307" s="209">
        <f>AK307</f>
        <v>6356.05</v>
      </c>
      <c r="AU307" s="209">
        <f>AL307</f>
        <v>0</v>
      </c>
      <c r="AV307" s="203"/>
      <c r="AW307" s="251">
        <f>R307*S307</f>
        <v>6356.05</v>
      </c>
      <c r="AX307" s="251"/>
      <c r="AY307" s="838">
        <f t="shared" si="414"/>
        <v>6356.05</v>
      </c>
      <c r="AZ307" s="838"/>
      <c r="BA307" s="839"/>
    </row>
    <row r="308" spans="2:53" s="76" customFormat="1" ht="63">
      <c r="B308" s="703">
        <f t="shared" si="384"/>
        <v>214</v>
      </c>
      <c r="C308" s="197" t="s">
        <v>1064</v>
      </c>
      <c r="D308" s="198" t="s">
        <v>200</v>
      </c>
      <c r="E308" s="703" t="s">
        <v>1111</v>
      </c>
      <c r="F308" s="703">
        <v>10</v>
      </c>
      <c r="G308" s="199">
        <v>5815</v>
      </c>
      <c r="H308" s="736"/>
      <c r="I308" s="199"/>
      <c r="J308" s="736"/>
      <c r="K308" s="199"/>
      <c r="L308" s="199"/>
      <c r="M308" s="736"/>
      <c r="N308" s="199"/>
      <c r="O308" s="737">
        <v>0.15</v>
      </c>
      <c r="P308" s="199">
        <f t="shared" si="415"/>
        <v>872.25</v>
      </c>
      <c r="Q308" s="199"/>
      <c r="R308" s="199">
        <f>G308+I308+K308+L308+N308+P308+Q308</f>
        <v>6687.25</v>
      </c>
      <c r="S308" s="199"/>
      <c r="T308" s="199">
        <v>0.25</v>
      </c>
      <c r="U308" s="199"/>
      <c r="V308" s="736"/>
      <c r="W308" s="199"/>
      <c r="X308" s="718">
        <v>29</v>
      </c>
      <c r="Y308" s="737">
        <v>0.3</v>
      </c>
      <c r="Z308" s="199">
        <f>R308*Y308</f>
        <v>2006.175</v>
      </c>
      <c r="AA308" s="199"/>
      <c r="AB308" s="199">
        <f>(R308+Z308)*T308+AA308</f>
        <v>2173.3562499999998</v>
      </c>
      <c r="AC308" s="738">
        <f>AF308</f>
        <v>1201.6437500000002</v>
      </c>
      <c r="AD308" s="738">
        <f t="shared" si="404"/>
        <v>3375</v>
      </c>
      <c r="AE308" s="202">
        <f>13500*T308</f>
        <v>3375</v>
      </c>
      <c r="AF308" s="202">
        <f>AE308-AB308</f>
        <v>1201.6437500000002</v>
      </c>
      <c r="AG308" s="738">
        <f>7100*T308</f>
        <v>1775</v>
      </c>
      <c r="AH308" s="202">
        <f>AG308-(R308*S308)-Z308</f>
        <v>-231.17499999999995</v>
      </c>
      <c r="AI308" s="203">
        <f>G308*T308</f>
        <v>1453.75</v>
      </c>
      <c r="AJ308" s="203">
        <f t="shared" si="420"/>
        <v>1453.75</v>
      </c>
      <c r="AK308" s="203">
        <f>R308*T308</f>
        <v>1671.8125</v>
      </c>
      <c r="AL308" s="203">
        <f t="shared" si="421"/>
        <v>1671.8125</v>
      </c>
      <c r="AM308" s="203">
        <f>AK308-AI308</f>
        <v>218.0625</v>
      </c>
      <c r="AN308" s="203">
        <f t="shared" si="408"/>
        <v>218.0625</v>
      </c>
      <c r="AO308" s="205">
        <f>Z308*T308</f>
        <v>501.54374999999999</v>
      </c>
      <c r="AP308" s="205">
        <f>Z308*T308</f>
        <v>501.54374999999999</v>
      </c>
      <c r="AQ308" s="205">
        <f>AA308</f>
        <v>0</v>
      </c>
      <c r="AR308" s="205">
        <f>W308*T308</f>
        <v>0</v>
      </c>
      <c r="AS308" s="205">
        <f>W308*T308</f>
        <v>0</v>
      </c>
      <c r="AT308" s="209">
        <f>AK308</f>
        <v>1671.8125</v>
      </c>
      <c r="AU308" s="209">
        <f>AL308</f>
        <v>1671.8125</v>
      </c>
      <c r="AV308" s="203"/>
      <c r="AW308" s="251">
        <f>R308*T308</f>
        <v>1671.8125</v>
      </c>
      <c r="AX308" s="251"/>
      <c r="AY308" s="838">
        <f t="shared" si="414"/>
        <v>1671.8125</v>
      </c>
      <c r="AZ308" s="838"/>
      <c r="BA308" s="839"/>
    </row>
    <row r="309" spans="2:53" s="76" customFormat="1" ht="63">
      <c r="B309" s="703">
        <f>1+B308</f>
        <v>215</v>
      </c>
      <c r="C309" s="197" t="s">
        <v>1064</v>
      </c>
      <c r="D309" s="198" t="s">
        <v>1104</v>
      </c>
      <c r="E309" s="703" t="s">
        <v>1144</v>
      </c>
      <c r="F309" s="703">
        <v>10</v>
      </c>
      <c r="G309" s="199">
        <v>5815</v>
      </c>
      <c r="H309" s="736"/>
      <c r="I309" s="199"/>
      <c r="J309" s="736"/>
      <c r="K309" s="199"/>
      <c r="L309" s="199"/>
      <c r="M309" s="736"/>
      <c r="N309" s="199"/>
      <c r="O309" s="737">
        <v>0.15</v>
      </c>
      <c r="P309" s="199">
        <f t="shared" si="415"/>
        <v>872.25</v>
      </c>
      <c r="Q309" s="206"/>
      <c r="R309" s="199">
        <f>G309+I309+K309+L309+N309+P309+Q309</f>
        <v>6687.25</v>
      </c>
      <c r="S309" s="199"/>
      <c r="T309" s="199">
        <v>0.5</v>
      </c>
      <c r="U309" s="206"/>
      <c r="V309" s="741"/>
      <c r="W309" s="206"/>
      <c r="X309" s="718">
        <v>26</v>
      </c>
      <c r="Y309" s="737">
        <v>0.3</v>
      </c>
      <c r="Z309" s="199">
        <f>R309*Y309</f>
        <v>2006.175</v>
      </c>
      <c r="AA309" s="199"/>
      <c r="AB309" s="199">
        <f>(R309+Z309)*T309+AA309</f>
        <v>4346.7124999999996</v>
      </c>
      <c r="AC309" s="738">
        <f>AF309</f>
        <v>2403.2875000000004</v>
      </c>
      <c r="AD309" s="738">
        <f>AB309+AC309</f>
        <v>6750</v>
      </c>
      <c r="AE309" s="202">
        <f>13500*T309</f>
        <v>6750</v>
      </c>
      <c r="AF309" s="202">
        <f t="shared" si="405"/>
        <v>2403.2875000000004</v>
      </c>
      <c r="AG309" s="738">
        <f>7100*T309</f>
        <v>3550</v>
      </c>
      <c r="AH309" s="202">
        <f>AG309-(R309*T309)-Z309</f>
        <v>-1799.8</v>
      </c>
      <c r="AI309" s="203">
        <f>G309*T309</f>
        <v>2907.5</v>
      </c>
      <c r="AJ309" s="203">
        <f t="shared" si="420"/>
        <v>2907.5</v>
      </c>
      <c r="AK309" s="203">
        <f>R309*T309</f>
        <v>3343.625</v>
      </c>
      <c r="AL309" s="203">
        <f t="shared" si="421"/>
        <v>3343.625</v>
      </c>
      <c r="AM309" s="203">
        <f t="shared" si="408"/>
        <v>436.125</v>
      </c>
      <c r="AN309" s="203">
        <f t="shared" si="408"/>
        <v>436.125</v>
      </c>
      <c r="AO309" s="205">
        <f t="shared" si="409"/>
        <v>0</v>
      </c>
      <c r="AP309" s="205">
        <f t="shared" si="410"/>
        <v>1003.0875</v>
      </c>
      <c r="AQ309" s="205">
        <f t="shared" si="411"/>
        <v>0</v>
      </c>
      <c r="AR309" s="205">
        <f t="shared" si="412"/>
        <v>0</v>
      </c>
      <c r="AS309" s="205">
        <f t="shared" si="413"/>
        <v>0</v>
      </c>
      <c r="AT309" s="209">
        <f t="shared" si="387"/>
        <v>3343.625</v>
      </c>
      <c r="AU309" s="209">
        <f t="shared" si="387"/>
        <v>3343.625</v>
      </c>
      <c r="AV309" s="203"/>
      <c r="AW309" s="251">
        <f>R309*T309</f>
        <v>3343.625</v>
      </c>
      <c r="AX309" s="251"/>
      <c r="AY309" s="838">
        <f t="shared" si="414"/>
        <v>3343.625</v>
      </c>
      <c r="AZ309" s="838"/>
      <c r="BA309" s="840"/>
    </row>
    <row r="310" spans="2:53" s="76" customFormat="1" ht="63">
      <c r="B310" s="703">
        <f t="shared" si="384"/>
        <v>216</v>
      </c>
      <c r="C310" s="197" t="s">
        <v>1064</v>
      </c>
      <c r="D310" s="198" t="s">
        <v>1071</v>
      </c>
      <c r="E310" s="703" t="s">
        <v>1143</v>
      </c>
      <c r="F310" s="703">
        <v>10</v>
      </c>
      <c r="G310" s="199">
        <v>5815</v>
      </c>
      <c r="H310" s="736"/>
      <c r="I310" s="199"/>
      <c r="J310" s="736"/>
      <c r="K310" s="199"/>
      <c r="L310" s="199"/>
      <c r="M310" s="736"/>
      <c r="N310" s="199"/>
      <c r="O310" s="737">
        <v>0.15</v>
      </c>
      <c r="P310" s="199">
        <f t="shared" si="415"/>
        <v>872.25</v>
      </c>
      <c r="Q310" s="199"/>
      <c r="R310" s="199">
        <f t="shared" si="416"/>
        <v>6687.25</v>
      </c>
      <c r="S310" s="199">
        <v>1</v>
      </c>
      <c r="T310" s="199"/>
      <c r="U310" s="199"/>
      <c r="V310" s="736"/>
      <c r="W310" s="199"/>
      <c r="X310" s="718">
        <v>28</v>
      </c>
      <c r="Y310" s="737">
        <v>0.3</v>
      </c>
      <c r="Z310" s="199">
        <f>R310*Y310</f>
        <v>2006.175</v>
      </c>
      <c r="AA310" s="199"/>
      <c r="AB310" s="199">
        <f>(R310+Z310)*S310+AA310</f>
        <v>8693.4249999999993</v>
      </c>
      <c r="AC310" s="738">
        <f t="shared" si="403"/>
        <v>4806.5750000000007</v>
      </c>
      <c r="AD310" s="738">
        <f t="shared" si="404"/>
        <v>13500</v>
      </c>
      <c r="AE310" s="202">
        <f t="shared" si="419"/>
        <v>13500</v>
      </c>
      <c r="AF310" s="202">
        <f t="shared" si="405"/>
        <v>4806.5750000000007</v>
      </c>
      <c r="AG310" s="738">
        <f t="shared" si="418"/>
        <v>7100</v>
      </c>
      <c r="AH310" s="202">
        <f>AG310-(R310*T310)-Z310</f>
        <v>5093.8249999999998</v>
      </c>
      <c r="AI310" s="203">
        <f t="shared" si="406"/>
        <v>5815</v>
      </c>
      <c r="AJ310" s="203">
        <f t="shared" si="420"/>
        <v>0</v>
      </c>
      <c r="AK310" s="203">
        <f t="shared" si="407"/>
        <v>6687.25</v>
      </c>
      <c r="AL310" s="203">
        <f t="shared" si="421"/>
        <v>0</v>
      </c>
      <c r="AM310" s="203">
        <f t="shared" si="408"/>
        <v>872.25</v>
      </c>
      <c r="AN310" s="203">
        <f t="shared" si="408"/>
        <v>0</v>
      </c>
      <c r="AO310" s="205">
        <f t="shared" si="409"/>
        <v>2006.175</v>
      </c>
      <c r="AP310" s="205">
        <f t="shared" si="410"/>
        <v>0</v>
      </c>
      <c r="AQ310" s="205">
        <f t="shared" si="411"/>
        <v>0</v>
      </c>
      <c r="AR310" s="205">
        <f t="shared" si="412"/>
        <v>0</v>
      </c>
      <c r="AS310" s="205">
        <f t="shared" si="413"/>
        <v>0</v>
      </c>
      <c r="AT310" s="209">
        <f>AK310</f>
        <v>6687.25</v>
      </c>
      <c r="AU310" s="209">
        <f>AL310</f>
        <v>0</v>
      </c>
      <c r="AV310" s="203"/>
      <c r="AW310" s="251">
        <f>R310*S310</f>
        <v>6687.25</v>
      </c>
      <c r="AX310" s="251"/>
      <c r="AY310" s="838">
        <f t="shared" si="414"/>
        <v>6687.25</v>
      </c>
      <c r="AZ310" s="838"/>
      <c r="BA310" s="840"/>
    </row>
    <row r="311" spans="2:53" s="76" customFormat="1" ht="63">
      <c r="B311" s="703">
        <f t="shared" si="384"/>
        <v>217</v>
      </c>
      <c r="C311" s="197" t="s">
        <v>1064</v>
      </c>
      <c r="D311" s="198" t="s">
        <v>1807</v>
      </c>
      <c r="E311" s="703" t="s">
        <v>1121</v>
      </c>
      <c r="F311" s="703">
        <v>9</v>
      </c>
      <c r="G311" s="199">
        <v>5527</v>
      </c>
      <c r="H311" s="736"/>
      <c r="I311" s="199"/>
      <c r="J311" s="736"/>
      <c r="K311" s="199"/>
      <c r="L311" s="199"/>
      <c r="M311" s="736"/>
      <c r="N311" s="199"/>
      <c r="O311" s="737">
        <v>0.15</v>
      </c>
      <c r="P311" s="199">
        <f t="shared" si="415"/>
        <v>829.05</v>
      </c>
      <c r="Q311" s="199"/>
      <c r="R311" s="199">
        <f>G311+I311+K311+L311+N311+P311+Q311</f>
        <v>6356.05</v>
      </c>
      <c r="S311" s="199">
        <v>1</v>
      </c>
      <c r="T311" s="199"/>
      <c r="U311" s="199"/>
      <c r="V311" s="736"/>
      <c r="W311" s="199"/>
      <c r="X311" s="718">
        <v>13</v>
      </c>
      <c r="Y311" s="737">
        <v>0.2</v>
      </c>
      <c r="Z311" s="199">
        <f t="shared" si="417"/>
        <v>1271.21</v>
      </c>
      <c r="AA311" s="199"/>
      <c r="AB311" s="199">
        <f>(R311+Z311)*S311+AA311</f>
        <v>7627.26</v>
      </c>
      <c r="AC311" s="738">
        <f t="shared" si="403"/>
        <v>5872.74</v>
      </c>
      <c r="AD311" s="738">
        <f t="shared" si="404"/>
        <v>13500</v>
      </c>
      <c r="AE311" s="202">
        <f t="shared" si="419"/>
        <v>13500</v>
      </c>
      <c r="AF311" s="202">
        <f t="shared" si="405"/>
        <v>5872.74</v>
      </c>
      <c r="AG311" s="738">
        <f t="shared" si="418"/>
        <v>7100</v>
      </c>
      <c r="AH311" s="202">
        <f>AG311-(R311*S311)-Z311</f>
        <v>-527.26000000000022</v>
      </c>
      <c r="AI311" s="203">
        <f t="shared" si="406"/>
        <v>5527</v>
      </c>
      <c r="AJ311" s="203">
        <f t="shared" si="420"/>
        <v>0</v>
      </c>
      <c r="AK311" s="203">
        <f t="shared" si="407"/>
        <v>6356.05</v>
      </c>
      <c r="AL311" s="203">
        <f t="shared" si="421"/>
        <v>0</v>
      </c>
      <c r="AM311" s="203">
        <f t="shared" si="408"/>
        <v>829.05000000000018</v>
      </c>
      <c r="AN311" s="203">
        <f t="shared" si="408"/>
        <v>0</v>
      </c>
      <c r="AO311" s="205">
        <f t="shared" si="409"/>
        <v>1271.21</v>
      </c>
      <c r="AP311" s="205">
        <f t="shared" si="410"/>
        <v>0</v>
      </c>
      <c r="AQ311" s="205">
        <f t="shared" si="411"/>
        <v>0</v>
      </c>
      <c r="AR311" s="205">
        <f t="shared" si="412"/>
        <v>0</v>
      </c>
      <c r="AS311" s="205">
        <f t="shared" si="413"/>
        <v>0</v>
      </c>
      <c r="AT311" s="209">
        <f t="shared" si="387"/>
        <v>6356.05</v>
      </c>
      <c r="AU311" s="209">
        <f t="shared" si="387"/>
        <v>0</v>
      </c>
      <c r="AV311" s="203"/>
      <c r="AW311" s="251">
        <f>R311*S311</f>
        <v>6356.05</v>
      </c>
      <c r="AX311" s="251"/>
      <c r="AY311" s="838">
        <f t="shared" si="414"/>
        <v>6356.05</v>
      </c>
      <c r="AZ311" s="838"/>
      <c r="BA311" s="840"/>
    </row>
    <row r="312" spans="2:53" s="76" customFormat="1" ht="87.75">
      <c r="B312" s="703">
        <f t="shared" si="384"/>
        <v>218</v>
      </c>
      <c r="C312" s="197" t="s">
        <v>1064</v>
      </c>
      <c r="D312" s="198" t="s">
        <v>188</v>
      </c>
      <c r="E312" s="703" t="s">
        <v>1111</v>
      </c>
      <c r="F312" s="703">
        <v>10</v>
      </c>
      <c r="G312" s="199">
        <v>5815</v>
      </c>
      <c r="H312" s="736"/>
      <c r="I312" s="199"/>
      <c r="J312" s="736"/>
      <c r="K312" s="199"/>
      <c r="L312" s="199"/>
      <c r="M312" s="736"/>
      <c r="N312" s="199"/>
      <c r="O312" s="737">
        <v>0.15</v>
      </c>
      <c r="P312" s="199">
        <f t="shared" si="415"/>
        <v>872.25</v>
      </c>
      <c r="Q312" s="199"/>
      <c r="R312" s="199">
        <f>G312+I312+K312+L312+N312+P312+Q312</f>
        <v>6687.25</v>
      </c>
      <c r="S312" s="199">
        <v>1</v>
      </c>
      <c r="T312" s="199"/>
      <c r="U312" s="199"/>
      <c r="V312" s="736"/>
      <c r="W312" s="199"/>
      <c r="X312" s="718">
        <v>29</v>
      </c>
      <c r="Y312" s="737">
        <v>0.3</v>
      </c>
      <c r="Z312" s="199">
        <f>R312*Y312</f>
        <v>2006.175</v>
      </c>
      <c r="AA312" s="199"/>
      <c r="AB312" s="199">
        <f>(R312+Z312)*S312+AA312</f>
        <v>8693.4249999999993</v>
      </c>
      <c r="AC312" s="738">
        <f t="shared" si="403"/>
        <v>4806.5750000000007</v>
      </c>
      <c r="AD312" s="738">
        <f t="shared" si="404"/>
        <v>13500</v>
      </c>
      <c r="AE312" s="202">
        <f t="shared" si="419"/>
        <v>13500</v>
      </c>
      <c r="AF312" s="202">
        <f t="shared" si="405"/>
        <v>4806.5750000000007</v>
      </c>
      <c r="AG312" s="738">
        <f t="shared" si="418"/>
        <v>7100</v>
      </c>
      <c r="AH312" s="202"/>
      <c r="AI312" s="203">
        <f t="shared" si="406"/>
        <v>5815</v>
      </c>
      <c r="AJ312" s="203">
        <f t="shared" si="420"/>
        <v>0</v>
      </c>
      <c r="AK312" s="203">
        <f t="shared" si="407"/>
        <v>6687.25</v>
      </c>
      <c r="AL312" s="203">
        <f t="shared" si="421"/>
        <v>0</v>
      </c>
      <c r="AM312" s="203">
        <f t="shared" si="408"/>
        <v>872.25</v>
      </c>
      <c r="AN312" s="203">
        <f t="shared" si="408"/>
        <v>0</v>
      </c>
      <c r="AO312" s="205">
        <f t="shared" si="409"/>
        <v>2006.175</v>
      </c>
      <c r="AP312" s="205">
        <f t="shared" si="410"/>
        <v>0</v>
      </c>
      <c r="AQ312" s="205">
        <f t="shared" si="411"/>
        <v>0</v>
      </c>
      <c r="AR312" s="205">
        <f>W312*S312</f>
        <v>0</v>
      </c>
      <c r="AS312" s="205">
        <f>W312*T312</f>
        <v>0</v>
      </c>
      <c r="AT312" s="209">
        <f t="shared" si="387"/>
        <v>6687.25</v>
      </c>
      <c r="AU312" s="209">
        <f t="shared" si="387"/>
        <v>0</v>
      </c>
      <c r="AV312" s="203"/>
      <c r="AW312" s="251">
        <f>R312*S312</f>
        <v>6687.25</v>
      </c>
      <c r="AX312" s="251"/>
      <c r="AY312" s="838">
        <f t="shared" si="414"/>
        <v>6687.25</v>
      </c>
      <c r="AZ312" s="838"/>
      <c r="BA312" s="840"/>
    </row>
    <row r="313" spans="2:53" s="76" customFormat="1" ht="34.5">
      <c r="B313" s="703"/>
      <c r="C313" s="180" t="s">
        <v>1736</v>
      </c>
      <c r="D313" s="207"/>
      <c r="E313" s="193"/>
      <c r="F313" s="193"/>
      <c r="G313" s="183">
        <f>SUM(G301:G312)</f>
        <v>69204</v>
      </c>
      <c r="H313" s="731"/>
      <c r="I313" s="193"/>
      <c r="J313" s="731"/>
      <c r="K313" s="193"/>
      <c r="L313" s="193"/>
      <c r="M313" s="731"/>
      <c r="N313" s="193"/>
      <c r="O313" s="731"/>
      <c r="P313" s="183">
        <f>SUM(P301:P312)</f>
        <v>10467.825000000001</v>
      </c>
      <c r="Q313" s="193"/>
      <c r="R313" s="183">
        <f>SUM(R301:R312)</f>
        <v>80253.324999999997</v>
      </c>
      <c r="S313" s="183">
        <f>SUM(S301:S312)</f>
        <v>9</v>
      </c>
      <c r="T313" s="183">
        <f>SUM(T301:T312)</f>
        <v>1</v>
      </c>
      <c r="U313" s="183"/>
      <c r="V313" s="742"/>
      <c r="W313" s="183"/>
      <c r="X313" s="742"/>
      <c r="Y313" s="742"/>
      <c r="Z313" s="183">
        <f>SUM(Z301:Z312)</f>
        <v>22804.787499999995</v>
      </c>
      <c r="AA313" s="183">
        <f>SUM(AA302:AA312)</f>
        <v>0</v>
      </c>
      <c r="AB313" s="183">
        <f t="shared" ref="AB313:AV313" si="422">SUM(AB301:AB312)</f>
        <v>85671.262499999997</v>
      </c>
      <c r="AC313" s="183">
        <f>SUM(AC301:AC312)</f>
        <v>49328.737500000003</v>
      </c>
      <c r="AD313" s="183">
        <f>SUM(AD301:AD312)</f>
        <v>135000</v>
      </c>
      <c r="AE313" s="183">
        <f t="shared" si="422"/>
        <v>135000</v>
      </c>
      <c r="AF313" s="183">
        <f t="shared" si="422"/>
        <v>49328.737500000003</v>
      </c>
      <c r="AG313" s="183">
        <f t="shared" si="422"/>
        <v>71000</v>
      </c>
      <c r="AH313" s="183">
        <f t="shared" si="422"/>
        <v>1777.1549999999997</v>
      </c>
      <c r="AI313" s="183">
        <f t="shared" si="422"/>
        <v>57574</v>
      </c>
      <c r="AJ313" s="183">
        <f t="shared" si="422"/>
        <v>5815</v>
      </c>
      <c r="AK313" s="183">
        <f t="shared" si="422"/>
        <v>66878.825000000012</v>
      </c>
      <c r="AL313" s="183">
        <f t="shared" si="422"/>
        <v>6687.25</v>
      </c>
      <c r="AM313" s="183">
        <f t="shared" si="422"/>
        <v>9304.8250000000007</v>
      </c>
      <c r="AN313" s="183">
        <f t="shared" si="422"/>
        <v>872.25</v>
      </c>
      <c r="AO313" s="183">
        <f t="shared" si="422"/>
        <v>17789.349999999999</v>
      </c>
      <c r="AP313" s="183">
        <f t="shared" si="422"/>
        <v>3277.3850000000002</v>
      </c>
      <c r="AQ313" s="183">
        <f t="shared" si="422"/>
        <v>0</v>
      </c>
      <c r="AR313" s="183">
        <f t="shared" si="422"/>
        <v>0</v>
      </c>
      <c r="AS313" s="183">
        <f t="shared" si="422"/>
        <v>0</v>
      </c>
      <c r="AT313" s="183">
        <f t="shared" si="422"/>
        <v>66878.825000000012</v>
      </c>
      <c r="AU313" s="183">
        <f t="shared" si="422"/>
        <v>6687.25</v>
      </c>
      <c r="AV313" s="183">
        <f t="shared" si="422"/>
        <v>0</v>
      </c>
      <c r="AW313" s="183">
        <f>SUM(AW301:AW312)</f>
        <v>66878.825000000012</v>
      </c>
      <c r="AX313" s="251"/>
      <c r="AY313" s="840"/>
      <c r="AZ313" s="838"/>
      <c r="BA313" s="840"/>
    </row>
    <row r="314" spans="2:53" s="76" customFormat="1" ht="34.5">
      <c r="B314" s="703"/>
      <c r="C314" s="220" t="s">
        <v>1874</v>
      </c>
      <c r="D314" s="207"/>
      <c r="E314" s="193"/>
      <c r="F314" s="193"/>
      <c r="G314" s="183"/>
      <c r="H314" s="752"/>
      <c r="I314" s="183"/>
      <c r="J314" s="731"/>
      <c r="K314" s="193"/>
      <c r="L314" s="193"/>
      <c r="M314" s="731"/>
      <c r="N314" s="193"/>
      <c r="O314" s="731"/>
      <c r="P314" s="193"/>
      <c r="Q314" s="193"/>
      <c r="R314" s="183"/>
      <c r="S314" s="183"/>
      <c r="T314" s="183"/>
      <c r="U314" s="183"/>
      <c r="V314" s="742"/>
      <c r="W314" s="183"/>
      <c r="X314" s="742"/>
      <c r="Y314" s="742"/>
      <c r="Z314" s="183"/>
      <c r="AA314" s="183"/>
      <c r="AB314" s="183"/>
      <c r="AC314" s="208"/>
      <c r="AD314" s="208"/>
      <c r="AE314" s="208"/>
      <c r="AF314" s="208"/>
      <c r="AG314" s="208"/>
      <c r="AH314" s="208"/>
      <c r="AI314" s="203"/>
      <c r="AJ314" s="203"/>
      <c r="AK314" s="203"/>
      <c r="AL314" s="203"/>
      <c r="AM314" s="203"/>
      <c r="AN314" s="203"/>
      <c r="AO314" s="205"/>
      <c r="AP314" s="205"/>
      <c r="AQ314" s="205"/>
      <c r="AR314" s="205"/>
      <c r="AS314" s="205"/>
      <c r="AT314" s="209"/>
      <c r="AU314" s="209"/>
      <c r="AV314" s="203"/>
      <c r="AW314" s="251"/>
      <c r="AX314" s="251"/>
      <c r="AY314" s="840"/>
      <c r="AZ314" s="838"/>
      <c r="BA314" s="840"/>
    </row>
    <row r="315" spans="2:53" s="76" customFormat="1" ht="63">
      <c r="B315" s="703">
        <f>B312+1</f>
        <v>219</v>
      </c>
      <c r="C315" s="224" t="s">
        <v>1818</v>
      </c>
      <c r="D315" s="198"/>
      <c r="E315" s="703" t="s">
        <v>1209</v>
      </c>
      <c r="F315" s="703">
        <v>3</v>
      </c>
      <c r="G315" s="199">
        <v>3770</v>
      </c>
      <c r="H315" s="736"/>
      <c r="I315" s="199"/>
      <c r="J315" s="736"/>
      <c r="K315" s="199"/>
      <c r="L315" s="199"/>
      <c r="M315" s="736"/>
      <c r="N315" s="199"/>
      <c r="O315" s="737">
        <v>0.15</v>
      </c>
      <c r="P315" s="204">
        <f>G315*O315</f>
        <v>565.5</v>
      </c>
      <c r="Q315" s="199"/>
      <c r="R315" s="199">
        <f>G315+I315+K315+L315+N315+P315+Q315</f>
        <v>4335.5</v>
      </c>
      <c r="S315" s="199">
        <v>1</v>
      </c>
      <c r="T315" s="206"/>
      <c r="U315" s="206"/>
      <c r="V315" s="737">
        <v>0.1</v>
      </c>
      <c r="W315" s="199">
        <f>R315*V315</f>
        <v>433.55</v>
      </c>
      <c r="X315" s="718"/>
      <c r="Y315" s="737"/>
      <c r="Z315" s="199"/>
      <c r="AA315" s="199">
        <f>AH315</f>
        <v>2764.5</v>
      </c>
      <c r="AB315" s="199">
        <f>(R315+Z315+U315+W315)*S315+AA315</f>
        <v>7533.55</v>
      </c>
      <c r="AC315" s="738">
        <f>AF315</f>
        <v>0</v>
      </c>
      <c r="AD315" s="738">
        <f>AB315+AC315</f>
        <v>7533.55</v>
      </c>
      <c r="AE315" s="202">
        <f>AB315</f>
        <v>7533.55</v>
      </c>
      <c r="AF315" s="202">
        <f>AE315-AB315</f>
        <v>0</v>
      </c>
      <c r="AG315" s="738">
        <f>7100*S315</f>
        <v>7100</v>
      </c>
      <c r="AH315" s="202">
        <f>AG315-(R315*S315)</f>
        <v>2764.5</v>
      </c>
      <c r="AI315" s="203">
        <f>G315*S315</f>
        <v>3770</v>
      </c>
      <c r="AJ315" s="203">
        <f>G315*T315</f>
        <v>0</v>
      </c>
      <c r="AK315" s="203">
        <f>R315*S315</f>
        <v>4335.5</v>
      </c>
      <c r="AL315" s="203">
        <f>R315*T315</f>
        <v>0</v>
      </c>
      <c r="AM315" s="203">
        <f t="shared" ref="AM315:AN319" si="423">AK315-AI315</f>
        <v>565.5</v>
      </c>
      <c r="AN315" s="203">
        <f t="shared" si="423"/>
        <v>0</v>
      </c>
      <c r="AO315" s="205">
        <f>Z315*S315</f>
        <v>0</v>
      </c>
      <c r="AP315" s="205">
        <f>Z315*T315</f>
        <v>0</v>
      </c>
      <c r="AQ315" s="205">
        <f>AA315</f>
        <v>2764.5</v>
      </c>
      <c r="AR315" s="205">
        <f>W315*S315</f>
        <v>433.55</v>
      </c>
      <c r="AS315" s="205">
        <f>W315*T315</f>
        <v>0</v>
      </c>
      <c r="AT315" s="209">
        <f t="shared" si="387"/>
        <v>4335.5</v>
      </c>
      <c r="AU315" s="209">
        <f>AL315</f>
        <v>0</v>
      </c>
      <c r="AV315" s="203"/>
      <c r="AW315" s="251">
        <f>R315*S315</f>
        <v>4335.5</v>
      </c>
      <c r="AX315" s="251"/>
      <c r="AY315" s="838">
        <f>AW315</f>
        <v>4335.5</v>
      </c>
      <c r="AZ315" s="838"/>
      <c r="BA315" s="840"/>
    </row>
    <row r="316" spans="2:53" s="76" customFormat="1" ht="63">
      <c r="B316" s="703">
        <f t="shared" si="384"/>
        <v>220</v>
      </c>
      <c r="C316" s="224" t="s">
        <v>1818</v>
      </c>
      <c r="D316" s="198"/>
      <c r="E316" s="703" t="s">
        <v>1210</v>
      </c>
      <c r="F316" s="703">
        <v>3</v>
      </c>
      <c r="G316" s="199">
        <v>3770</v>
      </c>
      <c r="H316" s="736"/>
      <c r="I316" s="199"/>
      <c r="J316" s="736"/>
      <c r="K316" s="199"/>
      <c r="L316" s="199"/>
      <c r="M316" s="736"/>
      <c r="N316" s="199"/>
      <c r="O316" s="737">
        <v>0.15</v>
      </c>
      <c r="P316" s="204">
        <f>G316*O316</f>
        <v>565.5</v>
      </c>
      <c r="Q316" s="199"/>
      <c r="R316" s="199">
        <f>G316+I316+K316+L316+N316+P316+Q316</f>
        <v>4335.5</v>
      </c>
      <c r="S316" s="199">
        <v>1</v>
      </c>
      <c r="T316" s="199"/>
      <c r="U316" s="199"/>
      <c r="V316" s="737">
        <v>0.1</v>
      </c>
      <c r="W316" s="199">
        <f>R316*V316</f>
        <v>433.55</v>
      </c>
      <c r="X316" s="718"/>
      <c r="Y316" s="737"/>
      <c r="Z316" s="199"/>
      <c r="AA316" s="199">
        <f>AH316</f>
        <v>2764.5</v>
      </c>
      <c r="AB316" s="199">
        <f>(R316+Z316+U316+W316)*S316+AA316</f>
        <v>7533.55</v>
      </c>
      <c r="AC316" s="738">
        <f>AF316</f>
        <v>0</v>
      </c>
      <c r="AD316" s="738">
        <f>AB316+AC316</f>
        <v>7533.55</v>
      </c>
      <c r="AE316" s="202">
        <f>AB316</f>
        <v>7533.55</v>
      </c>
      <c r="AF316" s="202">
        <f>AE316-AB316</f>
        <v>0</v>
      </c>
      <c r="AG316" s="738">
        <f>7100*S316</f>
        <v>7100</v>
      </c>
      <c r="AH316" s="202">
        <f>AG316-(R316*S316)</f>
        <v>2764.5</v>
      </c>
      <c r="AI316" s="203">
        <f>G316*S316</f>
        <v>3770</v>
      </c>
      <c r="AJ316" s="203">
        <f>G316*T316</f>
        <v>0</v>
      </c>
      <c r="AK316" s="203">
        <f>R316*S316</f>
        <v>4335.5</v>
      </c>
      <c r="AL316" s="203">
        <f>R316*T316</f>
        <v>0</v>
      </c>
      <c r="AM316" s="203">
        <f t="shared" si="423"/>
        <v>565.5</v>
      </c>
      <c r="AN316" s="203">
        <f t="shared" si="423"/>
        <v>0</v>
      </c>
      <c r="AO316" s="205">
        <f>Z316*S316</f>
        <v>0</v>
      </c>
      <c r="AP316" s="205">
        <f>Z316*T316</f>
        <v>0</v>
      </c>
      <c r="AQ316" s="205">
        <f>AA316</f>
        <v>2764.5</v>
      </c>
      <c r="AR316" s="205">
        <f>W316*S316</f>
        <v>433.55</v>
      </c>
      <c r="AS316" s="205">
        <f>W316*T316</f>
        <v>0</v>
      </c>
      <c r="AT316" s="209">
        <f t="shared" si="387"/>
        <v>4335.5</v>
      </c>
      <c r="AU316" s="209">
        <f t="shared" si="387"/>
        <v>0</v>
      </c>
      <c r="AV316" s="203"/>
      <c r="AW316" s="251">
        <f>R316*S316</f>
        <v>4335.5</v>
      </c>
      <c r="AX316" s="251"/>
      <c r="AY316" s="838">
        <f>AW316</f>
        <v>4335.5</v>
      </c>
      <c r="AZ316" s="838"/>
      <c r="BA316" s="840"/>
    </row>
    <row r="317" spans="2:53" s="76" customFormat="1" ht="63">
      <c r="B317" s="703">
        <f t="shared" si="384"/>
        <v>221</v>
      </c>
      <c r="C317" s="224" t="s">
        <v>1818</v>
      </c>
      <c r="D317" s="198"/>
      <c r="E317" s="703" t="s">
        <v>1211</v>
      </c>
      <c r="F317" s="703">
        <v>3</v>
      </c>
      <c r="G317" s="199">
        <v>3770</v>
      </c>
      <c r="H317" s="736"/>
      <c r="I317" s="199"/>
      <c r="J317" s="736"/>
      <c r="K317" s="199"/>
      <c r="L317" s="199"/>
      <c r="M317" s="736"/>
      <c r="N317" s="199"/>
      <c r="O317" s="737">
        <v>0.15</v>
      </c>
      <c r="P317" s="204">
        <f>G317*O317</f>
        <v>565.5</v>
      </c>
      <c r="Q317" s="199"/>
      <c r="R317" s="199">
        <f>G317+I317+K317+L317+N317+P317+Q317</f>
        <v>4335.5</v>
      </c>
      <c r="S317" s="199">
        <v>1</v>
      </c>
      <c r="T317" s="199"/>
      <c r="U317" s="199"/>
      <c r="V317" s="737">
        <v>0.1</v>
      </c>
      <c r="W317" s="199">
        <f>R317*V317</f>
        <v>433.55</v>
      </c>
      <c r="X317" s="718"/>
      <c r="Y317" s="737"/>
      <c r="Z317" s="199"/>
      <c r="AA317" s="199">
        <f>AH317</f>
        <v>2764.5</v>
      </c>
      <c r="AB317" s="199">
        <f>(R317+Z317+U317+W317)*S317+AA317</f>
        <v>7533.55</v>
      </c>
      <c r="AC317" s="738">
        <f>AF317</f>
        <v>0</v>
      </c>
      <c r="AD317" s="738">
        <f>AB317+AC317</f>
        <v>7533.55</v>
      </c>
      <c r="AE317" s="202">
        <f>AB317</f>
        <v>7533.55</v>
      </c>
      <c r="AF317" s="202">
        <f>AE317-AB317</f>
        <v>0</v>
      </c>
      <c r="AG317" s="738">
        <f>7100*S317</f>
        <v>7100</v>
      </c>
      <c r="AH317" s="202">
        <f>AG317-(R317*S317)</f>
        <v>2764.5</v>
      </c>
      <c r="AI317" s="203">
        <f>G317*S317</f>
        <v>3770</v>
      </c>
      <c r="AJ317" s="203">
        <f>G317*T317</f>
        <v>0</v>
      </c>
      <c r="AK317" s="203">
        <f>R317*S317</f>
        <v>4335.5</v>
      </c>
      <c r="AL317" s="203">
        <f>R317*T317</f>
        <v>0</v>
      </c>
      <c r="AM317" s="203">
        <f t="shared" si="423"/>
        <v>565.5</v>
      </c>
      <c r="AN317" s="203">
        <f t="shared" si="423"/>
        <v>0</v>
      </c>
      <c r="AO317" s="205">
        <f>Z317*S317</f>
        <v>0</v>
      </c>
      <c r="AP317" s="205">
        <f>Z317*T317</f>
        <v>0</v>
      </c>
      <c r="AQ317" s="205">
        <f>AA317</f>
        <v>2764.5</v>
      </c>
      <c r="AR317" s="205">
        <f>W317*S317</f>
        <v>433.55</v>
      </c>
      <c r="AS317" s="205">
        <f>W317*T317</f>
        <v>0</v>
      </c>
      <c r="AT317" s="209">
        <f t="shared" si="387"/>
        <v>4335.5</v>
      </c>
      <c r="AU317" s="209">
        <f t="shared" si="387"/>
        <v>0</v>
      </c>
      <c r="AV317" s="203"/>
      <c r="AW317" s="251">
        <f>R317*S317</f>
        <v>4335.5</v>
      </c>
      <c r="AX317" s="251"/>
      <c r="AY317" s="838">
        <f>AW317</f>
        <v>4335.5</v>
      </c>
      <c r="AZ317" s="838"/>
      <c r="BA317" s="840"/>
    </row>
    <row r="318" spans="2:53" s="76" customFormat="1" ht="63">
      <c r="B318" s="703">
        <f t="shared" si="384"/>
        <v>222</v>
      </c>
      <c r="C318" s="224" t="s">
        <v>1818</v>
      </c>
      <c r="D318" s="198"/>
      <c r="E318" s="703" t="s">
        <v>1212</v>
      </c>
      <c r="F318" s="703">
        <v>3</v>
      </c>
      <c r="G318" s="199">
        <v>3770</v>
      </c>
      <c r="H318" s="736"/>
      <c r="I318" s="199"/>
      <c r="J318" s="736"/>
      <c r="K318" s="199"/>
      <c r="L318" s="199"/>
      <c r="M318" s="736"/>
      <c r="N318" s="199"/>
      <c r="O318" s="737">
        <v>0.15</v>
      </c>
      <c r="P318" s="204">
        <f>G318*O318</f>
        <v>565.5</v>
      </c>
      <c r="Q318" s="199"/>
      <c r="R318" s="199">
        <f>G318+I318+K318+L318+N318+P318+Q318</f>
        <v>4335.5</v>
      </c>
      <c r="S318" s="199">
        <v>1</v>
      </c>
      <c r="T318" s="199"/>
      <c r="U318" s="199"/>
      <c r="V318" s="737">
        <v>0.1</v>
      </c>
      <c r="W318" s="199">
        <f>R318*V318</f>
        <v>433.55</v>
      </c>
      <c r="X318" s="718"/>
      <c r="Y318" s="737"/>
      <c r="Z318" s="199"/>
      <c r="AA318" s="199">
        <f>AH318</f>
        <v>2764.5</v>
      </c>
      <c r="AB318" s="199">
        <f>(R318+Z318+U318+W318)*S318+AA318</f>
        <v>7533.55</v>
      </c>
      <c r="AC318" s="738">
        <f>AF318</f>
        <v>0</v>
      </c>
      <c r="AD318" s="738">
        <f>AB318+AC318</f>
        <v>7533.55</v>
      </c>
      <c r="AE318" s="202">
        <f>AB318</f>
        <v>7533.55</v>
      </c>
      <c r="AF318" s="202">
        <f>AE318-AB318</f>
        <v>0</v>
      </c>
      <c r="AG318" s="738">
        <f>7100*S318</f>
        <v>7100</v>
      </c>
      <c r="AH318" s="202">
        <f>AG318-(R318*S318)</f>
        <v>2764.5</v>
      </c>
      <c r="AI318" s="203">
        <f>G318*S318</f>
        <v>3770</v>
      </c>
      <c r="AJ318" s="203">
        <f>G318*T318</f>
        <v>0</v>
      </c>
      <c r="AK318" s="203">
        <f>R318*S318</f>
        <v>4335.5</v>
      </c>
      <c r="AL318" s="203">
        <f>R318*T318</f>
        <v>0</v>
      </c>
      <c r="AM318" s="203">
        <f t="shared" si="423"/>
        <v>565.5</v>
      </c>
      <c r="AN318" s="203">
        <f t="shared" si="423"/>
        <v>0</v>
      </c>
      <c r="AO318" s="205">
        <f>Z318*S318</f>
        <v>0</v>
      </c>
      <c r="AP318" s="205">
        <f>Z318*T318</f>
        <v>0</v>
      </c>
      <c r="AQ318" s="205">
        <f>AA318</f>
        <v>2764.5</v>
      </c>
      <c r="AR318" s="205">
        <f>W318*S318</f>
        <v>433.55</v>
      </c>
      <c r="AS318" s="205">
        <f>W318*T318</f>
        <v>0</v>
      </c>
      <c r="AT318" s="209">
        <f t="shared" si="387"/>
        <v>4335.5</v>
      </c>
      <c r="AU318" s="209">
        <f t="shared" si="387"/>
        <v>0</v>
      </c>
      <c r="AV318" s="203"/>
      <c r="AW318" s="251">
        <f>R318*S318</f>
        <v>4335.5</v>
      </c>
      <c r="AX318" s="251"/>
      <c r="AY318" s="838">
        <f>AW318</f>
        <v>4335.5</v>
      </c>
      <c r="AZ318" s="838"/>
      <c r="BA318" s="840"/>
    </row>
    <row r="319" spans="2:53" s="76" customFormat="1" ht="63">
      <c r="B319" s="703">
        <f t="shared" si="384"/>
        <v>223</v>
      </c>
      <c r="C319" s="224" t="s">
        <v>1818</v>
      </c>
      <c r="D319" s="198"/>
      <c r="E319" s="703" t="s">
        <v>1208</v>
      </c>
      <c r="F319" s="703">
        <v>3</v>
      </c>
      <c r="G319" s="199">
        <v>3770</v>
      </c>
      <c r="H319" s="736"/>
      <c r="I319" s="199"/>
      <c r="J319" s="741"/>
      <c r="K319" s="206"/>
      <c r="L319" s="206"/>
      <c r="M319" s="741"/>
      <c r="N319" s="206"/>
      <c r="O319" s="737">
        <v>0.15</v>
      </c>
      <c r="P319" s="204">
        <f>G319*O319</f>
        <v>565.5</v>
      </c>
      <c r="Q319" s="206"/>
      <c r="R319" s="199">
        <f>G319+I319+K319+L319+N319+P319+Q319</f>
        <v>4335.5</v>
      </c>
      <c r="S319" s="199">
        <v>1</v>
      </c>
      <c r="T319" s="206"/>
      <c r="U319" s="206"/>
      <c r="V319" s="737">
        <v>0.1</v>
      </c>
      <c r="W319" s="199">
        <f>R319*V319</f>
        <v>433.55</v>
      </c>
      <c r="X319" s="718"/>
      <c r="Y319" s="737"/>
      <c r="Z319" s="199"/>
      <c r="AA319" s="199">
        <f>AH319</f>
        <v>2764.5</v>
      </c>
      <c r="AB319" s="199">
        <f>(R319+Z319+U319+W319)*S319+AA319</f>
        <v>7533.55</v>
      </c>
      <c r="AC319" s="738">
        <f>AF319</f>
        <v>0</v>
      </c>
      <c r="AD319" s="738">
        <f>AB319+AC319</f>
        <v>7533.55</v>
      </c>
      <c r="AE319" s="202">
        <f>AB319</f>
        <v>7533.55</v>
      </c>
      <c r="AF319" s="202">
        <f>AE319-AB319</f>
        <v>0</v>
      </c>
      <c r="AG319" s="738">
        <f>7100*S319</f>
        <v>7100</v>
      </c>
      <c r="AH319" s="202">
        <f>AG319-(R319*S319)</f>
        <v>2764.5</v>
      </c>
      <c r="AI319" s="203">
        <f>G319*S319</f>
        <v>3770</v>
      </c>
      <c r="AJ319" s="203">
        <f>G319*T319</f>
        <v>0</v>
      </c>
      <c r="AK319" s="203">
        <f>R319*S319</f>
        <v>4335.5</v>
      </c>
      <c r="AL319" s="203">
        <f>R319*T319</f>
        <v>0</v>
      </c>
      <c r="AM319" s="203">
        <f t="shared" si="423"/>
        <v>565.5</v>
      </c>
      <c r="AN319" s="203">
        <f t="shared" si="423"/>
        <v>0</v>
      </c>
      <c r="AO319" s="205">
        <f>Z319*S319</f>
        <v>0</v>
      </c>
      <c r="AP319" s="205">
        <f>Z319*T319</f>
        <v>0</v>
      </c>
      <c r="AQ319" s="205">
        <f>AA319</f>
        <v>2764.5</v>
      </c>
      <c r="AR319" s="205">
        <f>W319*S319</f>
        <v>433.55</v>
      </c>
      <c r="AS319" s="205">
        <f>W319*T319</f>
        <v>0</v>
      </c>
      <c r="AT319" s="209">
        <f t="shared" si="387"/>
        <v>4335.5</v>
      </c>
      <c r="AU319" s="209">
        <f t="shared" si="387"/>
        <v>0</v>
      </c>
      <c r="AV319" s="203"/>
      <c r="AW319" s="251">
        <f>R319*S319</f>
        <v>4335.5</v>
      </c>
      <c r="AX319" s="251"/>
      <c r="AY319" s="838">
        <f>AW319</f>
        <v>4335.5</v>
      </c>
      <c r="AZ319" s="838"/>
      <c r="BA319" s="840"/>
    </row>
    <row r="320" spans="2:53" s="76" customFormat="1" ht="34.5">
      <c r="B320" s="703"/>
      <c r="C320" s="180" t="s">
        <v>1736</v>
      </c>
      <c r="D320" s="207"/>
      <c r="E320" s="193"/>
      <c r="F320" s="193"/>
      <c r="G320" s="183">
        <f>SUM(G315:G319)</f>
        <v>18850</v>
      </c>
      <c r="H320" s="731"/>
      <c r="I320" s="193"/>
      <c r="J320" s="731"/>
      <c r="K320" s="193"/>
      <c r="L320" s="193"/>
      <c r="M320" s="731"/>
      <c r="N320" s="193"/>
      <c r="O320" s="731"/>
      <c r="P320" s="183">
        <f>SUM(P315:P319)</f>
        <v>2827.5</v>
      </c>
      <c r="Q320" s="193"/>
      <c r="R320" s="183">
        <f>SUM(R315:R319)</f>
        <v>21677.5</v>
      </c>
      <c r="S320" s="183">
        <f>SUM(S315:S319)</f>
        <v>5</v>
      </c>
      <c r="T320" s="183">
        <f>SUM(T315:T319)</f>
        <v>0</v>
      </c>
      <c r="U320" s="183"/>
      <c r="V320" s="742"/>
      <c r="W320" s="183">
        <f>SUM(W315:W319)</f>
        <v>2167.75</v>
      </c>
      <c r="X320" s="742"/>
      <c r="Y320" s="742"/>
      <c r="Z320" s="183"/>
      <c r="AA320" s="183">
        <f t="shared" ref="AA320:AV320" si="424">SUM(AA315:AA319)</f>
        <v>13822.5</v>
      </c>
      <c r="AB320" s="183">
        <f t="shared" si="424"/>
        <v>37667.75</v>
      </c>
      <c r="AC320" s="183">
        <f t="shared" si="424"/>
        <v>0</v>
      </c>
      <c r="AD320" s="183">
        <f>SUM(AD315:AD319)</f>
        <v>37667.75</v>
      </c>
      <c r="AE320" s="183">
        <f t="shared" si="424"/>
        <v>37667.75</v>
      </c>
      <c r="AF320" s="183">
        <f t="shared" si="424"/>
        <v>0</v>
      </c>
      <c r="AG320" s="183">
        <f t="shared" si="424"/>
        <v>35500</v>
      </c>
      <c r="AH320" s="183">
        <f t="shared" si="424"/>
        <v>13822.5</v>
      </c>
      <c r="AI320" s="183">
        <f t="shared" si="424"/>
        <v>18850</v>
      </c>
      <c r="AJ320" s="183">
        <f t="shared" si="424"/>
        <v>0</v>
      </c>
      <c r="AK320" s="183">
        <f t="shared" si="424"/>
        <v>21677.5</v>
      </c>
      <c r="AL320" s="183">
        <f t="shared" si="424"/>
        <v>0</v>
      </c>
      <c r="AM320" s="183">
        <f t="shared" si="424"/>
        <v>2827.5</v>
      </c>
      <c r="AN320" s="183">
        <f t="shared" si="424"/>
        <v>0</v>
      </c>
      <c r="AO320" s="183">
        <f t="shared" si="424"/>
        <v>0</v>
      </c>
      <c r="AP320" s="183">
        <f t="shared" si="424"/>
        <v>0</v>
      </c>
      <c r="AQ320" s="183">
        <f t="shared" si="424"/>
        <v>13822.5</v>
      </c>
      <c r="AR320" s="183">
        <f t="shared" si="424"/>
        <v>2167.75</v>
      </c>
      <c r="AS320" s="183">
        <f t="shared" si="424"/>
        <v>0</v>
      </c>
      <c r="AT320" s="183">
        <f t="shared" si="424"/>
        <v>21677.5</v>
      </c>
      <c r="AU320" s="183">
        <f t="shared" si="424"/>
        <v>0</v>
      </c>
      <c r="AV320" s="183">
        <f t="shared" si="424"/>
        <v>0</v>
      </c>
      <c r="AW320" s="183">
        <f>SUM(AW315:AW319)</f>
        <v>21677.5</v>
      </c>
      <c r="AX320" s="251"/>
      <c r="AY320" s="840"/>
      <c r="AZ320" s="838"/>
      <c r="BA320" s="840"/>
    </row>
    <row r="321" spans="2:53" s="76" customFormat="1" ht="34.5">
      <c r="B321" s="703"/>
      <c r="C321" s="180" t="s">
        <v>1278</v>
      </c>
      <c r="D321" s="207"/>
      <c r="E321" s="193"/>
      <c r="F321" s="193"/>
      <c r="G321" s="184">
        <f>G299+G313+G320</f>
        <v>144637</v>
      </c>
      <c r="H321" s="742"/>
      <c r="I321" s="183"/>
      <c r="J321" s="742"/>
      <c r="K321" s="183"/>
      <c r="L321" s="183"/>
      <c r="M321" s="742"/>
      <c r="N321" s="183"/>
      <c r="O321" s="742"/>
      <c r="P321" s="184">
        <f>P299+P313+P320</f>
        <v>21782.775000000001</v>
      </c>
      <c r="Q321" s="183"/>
      <c r="R321" s="183">
        <f>R299+R313+R320</f>
        <v>169939.435</v>
      </c>
      <c r="S321" s="183">
        <f>S299+S313+S320</f>
        <v>20</v>
      </c>
      <c r="T321" s="183">
        <f>T299+T313+T320</f>
        <v>2</v>
      </c>
      <c r="U321" s="183"/>
      <c r="V321" s="742"/>
      <c r="W321" s="183">
        <f>W299+W313+W320</f>
        <v>2167.75</v>
      </c>
      <c r="X321" s="742"/>
      <c r="Y321" s="742"/>
      <c r="Z321" s="183">
        <f>Z299+Z313+Z320</f>
        <v>35418.075499999992</v>
      </c>
      <c r="AA321" s="183">
        <f>AA299+AA313+AA320</f>
        <v>13822.5</v>
      </c>
      <c r="AB321" s="183">
        <f>AB299+AB313+AB320</f>
        <v>195306.58549999999</v>
      </c>
      <c r="AC321" s="183">
        <f>AC299+AC313+AC320</f>
        <v>117361.16450000001</v>
      </c>
      <c r="AD321" s="183">
        <f>AD299+AD313+AD320</f>
        <v>312667.75</v>
      </c>
      <c r="AE321" s="183">
        <f t="shared" ref="AE321:AW321" si="425">AE299+AE313+AE320</f>
        <v>312667.75</v>
      </c>
      <c r="AF321" s="183">
        <f t="shared" si="425"/>
        <v>117361.16450000001</v>
      </c>
      <c r="AG321" s="183">
        <f>AG299+AG313+AG320</f>
        <v>156200</v>
      </c>
      <c r="AH321" s="183">
        <f t="shared" si="425"/>
        <v>40986.272999999986</v>
      </c>
      <c r="AI321" s="183">
        <f t="shared" si="425"/>
        <v>113646</v>
      </c>
      <c r="AJ321" s="183">
        <f t="shared" si="425"/>
        <v>12348.5</v>
      </c>
      <c r="AK321" s="183">
        <f t="shared" si="425"/>
        <v>134299.785</v>
      </c>
      <c r="AL321" s="183">
        <f t="shared" si="425"/>
        <v>14200.775</v>
      </c>
      <c r="AM321" s="183">
        <f t="shared" si="425"/>
        <v>20653.784999999996</v>
      </c>
      <c r="AN321" s="183">
        <f t="shared" si="425"/>
        <v>1852.2750000000001</v>
      </c>
      <c r="AO321" s="183">
        <f t="shared" si="425"/>
        <v>27397.227999999996</v>
      </c>
      <c r="AP321" s="183">
        <f t="shared" si="425"/>
        <v>4418.1850000000004</v>
      </c>
      <c r="AQ321" s="183">
        <f t="shared" si="425"/>
        <v>13822.5</v>
      </c>
      <c r="AR321" s="183">
        <f t="shared" si="425"/>
        <v>2167.75</v>
      </c>
      <c r="AS321" s="183">
        <f t="shared" si="425"/>
        <v>0</v>
      </c>
      <c r="AT321" s="183">
        <f t="shared" si="425"/>
        <v>134299.785</v>
      </c>
      <c r="AU321" s="183">
        <f t="shared" si="425"/>
        <v>14200.775</v>
      </c>
      <c r="AV321" s="183">
        <f t="shared" si="425"/>
        <v>0</v>
      </c>
      <c r="AW321" s="183">
        <f t="shared" si="425"/>
        <v>149051.41</v>
      </c>
      <c r="AX321" s="251"/>
      <c r="AY321" s="840"/>
      <c r="AZ321" s="838"/>
      <c r="BA321" s="840"/>
    </row>
    <row r="322" spans="2:53" s="76" customFormat="1" ht="34.5">
      <c r="B322" s="703"/>
      <c r="C322" s="193" t="s">
        <v>1838</v>
      </c>
      <c r="D322" s="207"/>
      <c r="E322" s="193"/>
      <c r="F322" s="193"/>
      <c r="G322" s="185"/>
      <c r="H322" s="753"/>
      <c r="I322" s="185"/>
      <c r="J322" s="753"/>
      <c r="K322" s="185"/>
      <c r="L322" s="185"/>
      <c r="M322" s="753"/>
      <c r="N322" s="185"/>
      <c r="O322" s="753"/>
      <c r="P322" s="185"/>
      <c r="Q322" s="185"/>
      <c r="R322" s="185"/>
      <c r="S322" s="183"/>
      <c r="T322" s="183"/>
      <c r="U322" s="185"/>
      <c r="V322" s="753"/>
      <c r="W322" s="185"/>
      <c r="X322" s="753"/>
      <c r="Y322" s="753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209">
        <f t="shared" si="387"/>
        <v>0</v>
      </c>
      <c r="AU322" s="209">
        <f t="shared" si="387"/>
        <v>0</v>
      </c>
      <c r="AV322" s="185"/>
      <c r="AW322" s="185"/>
      <c r="AX322" s="251"/>
      <c r="AY322" s="840"/>
      <c r="AZ322" s="838"/>
      <c r="BA322" s="840"/>
    </row>
    <row r="323" spans="2:53" s="76" customFormat="1" ht="34.5">
      <c r="B323" s="703"/>
      <c r="C323" s="191" t="s">
        <v>1057</v>
      </c>
      <c r="D323" s="192"/>
      <c r="E323" s="193"/>
      <c r="F323" s="193"/>
      <c r="G323" s="193"/>
      <c r="H323" s="731"/>
      <c r="I323" s="193"/>
      <c r="J323" s="731"/>
      <c r="K323" s="193"/>
      <c r="L323" s="193"/>
      <c r="M323" s="731"/>
      <c r="N323" s="193"/>
      <c r="O323" s="731"/>
      <c r="P323" s="193"/>
      <c r="Q323" s="193"/>
      <c r="R323" s="193"/>
      <c r="S323" s="193"/>
      <c r="T323" s="193"/>
      <c r="U323" s="193"/>
      <c r="V323" s="732"/>
      <c r="W323" s="193"/>
      <c r="X323" s="732"/>
      <c r="Y323" s="732"/>
      <c r="Z323" s="193"/>
      <c r="AA323" s="193"/>
      <c r="AB323" s="193"/>
      <c r="AC323" s="195"/>
      <c r="AD323" s="195"/>
      <c r="AE323" s="195"/>
      <c r="AF323" s="195"/>
      <c r="AG323" s="195"/>
      <c r="AH323" s="195"/>
      <c r="AI323" s="203">
        <f>G323*S323</f>
        <v>0</v>
      </c>
      <c r="AJ323" s="203">
        <f>G323*T323</f>
        <v>0</v>
      </c>
      <c r="AK323" s="203">
        <f>R323*S323</f>
        <v>0</v>
      </c>
      <c r="AL323" s="203">
        <f>R323*T323</f>
        <v>0</v>
      </c>
      <c r="AM323" s="203">
        <f t="shared" ref="AM323:AN327" si="426">AK323-AI323</f>
        <v>0</v>
      </c>
      <c r="AN323" s="203">
        <f t="shared" si="426"/>
        <v>0</v>
      </c>
      <c r="AO323" s="205">
        <f>Z323*S323</f>
        <v>0</v>
      </c>
      <c r="AP323" s="205">
        <f>Z323*T323</f>
        <v>0</v>
      </c>
      <c r="AQ323" s="205">
        <f>AA323</f>
        <v>0</v>
      </c>
      <c r="AR323" s="205">
        <f>W323*S323</f>
        <v>0</v>
      </c>
      <c r="AS323" s="205">
        <f>W323*T323</f>
        <v>0</v>
      </c>
      <c r="AT323" s="209">
        <f t="shared" si="387"/>
        <v>0</v>
      </c>
      <c r="AU323" s="209">
        <f t="shared" si="387"/>
        <v>0</v>
      </c>
      <c r="AV323" s="203"/>
      <c r="AW323" s="251"/>
      <c r="AX323" s="251"/>
      <c r="AY323" s="840"/>
      <c r="AZ323" s="838"/>
      <c r="BA323" s="840"/>
    </row>
    <row r="324" spans="2:53" s="76" customFormat="1" ht="34.5">
      <c r="B324" s="703"/>
      <c r="C324" s="220" t="s">
        <v>1382</v>
      </c>
      <c r="D324" s="217"/>
      <c r="E324" s="218"/>
      <c r="F324" s="218"/>
      <c r="G324" s="218"/>
      <c r="H324" s="745"/>
      <c r="I324" s="218"/>
      <c r="J324" s="745"/>
      <c r="K324" s="218"/>
      <c r="L324" s="218"/>
      <c r="M324" s="745"/>
      <c r="N324" s="218"/>
      <c r="O324" s="745"/>
      <c r="P324" s="218"/>
      <c r="Q324" s="218"/>
      <c r="R324" s="218"/>
      <c r="S324" s="218"/>
      <c r="T324" s="218"/>
      <c r="U324" s="218"/>
      <c r="V324" s="746"/>
      <c r="W324" s="218"/>
      <c r="X324" s="746"/>
      <c r="Y324" s="746"/>
      <c r="Z324" s="218"/>
      <c r="AA324" s="218"/>
      <c r="AB324" s="218"/>
      <c r="AC324" s="219"/>
      <c r="AD324" s="219"/>
      <c r="AE324" s="219"/>
      <c r="AF324" s="219"/>
      <c r="AG324" s="219"/>
      <c r="AH324" s="219"/>
      <c r="AI324" s="203">
        <f>G324*S324</f>
        <v>0</v>
      </c>
      <c r="AJ324" s="203">
        <f>G324*T324</f>
        <v>0</v>
      </c>
      <c r="AK324" s="203">
        <f>R324*S324</f>
        <v>0</v>
      </c>
      <c r="AL324" s="203">
        <f>R324*T324</f>
        <v>0</v>
      </c>
      <c r="AM324" s="203">
        <f t="shared" si="426"/>
        <v>0</v>
      </c>
      <c r="AN324" s="203">
        <f t="shared" si="426"/>
        <v>0</v>
      </c>
      <c r="AO324" s="205">
        <f>Z324*S324</f>
        <v>0</v>
      </c>
      <c r="AP324" s="205">
        <f>Z324*T324</f>
        <v>0</v>
      </c>
      <c r="AQ324" s="205">
        <f>AA324</f>
        <v>0</v>
      </c>
      <c r="AR324" s="205">
        <f>W324*S324</f>
        <v>0</v>
      </c>
      <c r="AS324" s="205">
        <f>W324*T324</f>
        <v>0</v>
      </c>
      <c r="AT324" s="209">
        <f t="shared" si="387"/>
        <v>0</v>
      </c>
      <c r="AU324" s="209">
        <f t="shared" si="387"/>
        <v>0</v>
      </c>
      <c r="AV324" s="203"/>
      <c r="AW324" s="251"/>
      <c r="AX324" s="251"/>
      <c r="AY324" s="840"/>
      <c r="AZ324" s="838"/>
      <c r="BA324" s="841"/>
    </row>
    <row r="325" spans="2:53" s="76" customFormat="1" ht="58.5">
      <c r="B325" s="703">
        <f>B319+1</f>
        <v>224</v>
      </c>
      <c r="C325" s="197" t="s">
        <v>1789</v>
      </c>
      <c r="D325" s="198" t="s">
        <v>201</v>
      </c>
      <c r="E325" s="703" t="s">
        <v>202</v>
      </c>
      <c r="F325" s="703">
        <v>10</v>
      </c>
      <c r="G325" s="199">
        <v>5815</v>
      </c>
      <c r="H325" s="736"/>
      <c r="I325" s="199"/>
      <c r="J325" s="736"/>
      <c r="K325" s="199"/>
      <c r="L325" s="199"/>
      <c r="M325" s="736"/>
      <c r="N325" s="193"/>
      <c r="O325" s="731"/>
      <c r="P325" s="193"/>
      <c r="Q325" s="199"/>
      <c r="R325" s="199">
        <f>G325+I325+K325+L325+N325+P325+Q325</f>
        <v>5815</v>
      </c>
      <c r="S325" s="199"/>
      <c r="T325" s="199">
        <v>0.25</v>
      </c>
      <c r="U325" s="199"/>
      <c r="V325" s="736"/>
      <c r="W325" s="199"/>
      <c r="X325" s="718">
        <v>2</v>
      </c>
      <c r="Y325" s="737">
        <v>0</v>
      </c>
      <c r="Z325" s="199">
        <f>R325*Y325</f>
        <v>0</v>
      </c>
      <c r="AA325" s="199">
        <f>AH325</f>
        <v>321.25</v>
      </c>
      <c r="AB325" s="199">
        <f>(R325+Z325)*T325+AA325</f>
        <v>1775</v>
      </c>
      <c r="AC325" s="738">
        <f>AF325</f>
        <v>3225</v>
      </c>
      <c r="AD325" s="738">
        <f>AB325+AC325</f>
        <v>5000</v>
      </c>
      <c r="AE325" s="202">
        <f>20000*T325</f>
        <v>5000</v>
      </c>
      <c r="AF325" s="202">
        <f>AE325-AB325</f>
        <v>3225</v>
      </c>
      <c r="AG325" s="738">
        <f>7100*T325</f>
        <v>1775</v>
      </c>
      <c r="AH325" s="202">
        <f>AG325-(R325*T325+Z325)</f>
        <v>321.25</v>
      </c>
      <c r="AI325" s="203">
        <f>G325*S325</f>
        <v>0</v>
      </c>
      <c r="AJ325" s="203">
        <f>G325*T325</f>
        <v>1453.75</v>
      </c>
      <c r="AK325" s="203">
        <f>R325*S325</f>
        <v>0</v>
      </c>
      <c r="AL325" s="203">
        <f>R325*T325</f>
        <v>1453.75</v>
      </c>
      <c r="AM325" s="203">
        <f t="shared" si="426"/>
        <v>0</v>
      </c>
      <c r="AN325" s="203">
        <f t="shared" si="426"/>
        <v>0</v>
      </c>
      <c r="AO325" s="205">
        <f>Z325*S325</f>
        <v>0</v>
      </c>
      <c r="AP325" s="205">
        <f>Z325*T325</f>
        <v>0</v>
      </c>
      <c r="AQ325" s="205">
        <f>AA325</f>
        <v>321.25</v>
      </c>
      <c r="AR325" s="205">
        <f>W325*S325</f>
        <v>0</v>
      </c>
      <c r="AS325" s="205">
        <f>W325*T325</f>
        <v>0</v>
      </c>
      <c r="AT325" s="209">
        <f t="shared" si="387"/>
        <v>0</v>
      </c>
      <c r="AU325" s="209">
        <f t="shared" si="387"/>
        <v>1453.75</v>
      </c>
      <c r="AV325" s="203"/>
      <c r="AW325" s="251">
        <f>R325*T325</f>
        <v>1453.75</v>
      </c>
      <c r="AX325" s="251"/>
      <c r="AY325" s="838">
        <f>AW325</f>
        <v>1453.75</v>
      </c>
      <c r="AZ325" s="838"/>
      <c r="BA325" s="840"/>
    </row>
    <row r="326" spans="2:53" s="76" customFormat="1" ht="34.5" hidden="1">
      <c r="B326" s="703"/>
      <c r="C326" s="197"/>
      <c r="D326" s="895"/>
      <c r="E326" s="703"/>
      <c r="F326" s="703"/>
      <c r="G326" s="199"/>
      <c r="H326" s="736"/>
      <c r="I326" s="199"/>
      <c r="J326" s="736"/>
      <c r="K326" s="199"/>
      <c r="L326" s="199"/>
      <c r="M326" s="736"/>
      <c r="N326" s="193"/>
      <c r="O326" s="731"/>
      <c r="P326" s="193"/>
      <c r="Q326" s="199"/>
      <c r="R326" s="199">
        <f>G326+I326+K326+L326+N326+P326+Q326</f>
        <v>0</v>
      </c>
      <c r="S326" s="199"/>
      <c r="T326" s="199"/>
      <c r="U326" s="199"/>
      <c r="V326" s="736"/>
      <c r="W326" s="199"/>
      <c r="X326" s="718"/>
      <c r="Y326" s="737"/>
      <c r="Z326" s="199">
        <f>R326*Y326</f>
        <v>0</v>
      </c>
      <c r="AA326" s="199">
        <f>AH326</f>
        <v>0</v>
      </c>
      <c r="AB326" s="199">
        <f>(R326+Z326)*S326+AA326</f>
        <v>0</v>
      </c>
      <c r="AC326" s="738">
        <f>AF326</f>
        <v>0</v>
      </c>
      <c r="AD326" s="738">
        <f>AB326+AC326</f>
        <v>0</v>
      </c>
      <c r="AE326" s="202">
        <f>20000*S326</f>
        <v>0</v>
      </c>
      <c r="AF326" s="202">
        <f>AE326-AB326</f>
        <v>0</v>
      </c>
      <c r="AG326" s="738">
        <f>7100*S326</f>
        <v>0</v>
      </c>
      <c r="AH326" s="202">
        <f>AG326-(R326+Z326)*S326</f>
        <v>0</v>
      </c>
      <c r="AI326" s="203">
        <f>G326*S326</f>
        <v>0</v>
      </c>
      <c r="AJ326" s="203">
        <f>G326*T326</f>
        <v>0</v>
      </c>
      <c r="AK326" s="203">
        <f>R326*S326</f>
        <v>0</v>
      </c>
      <c r="AL326" s="203">
        <f>R326*T326</f>
        <v>0</v>
      </c>
      <c r="AM326" s="203">
        <f t="shared" si="426"/>
        <v>0</v>
      </c>
      <c r="AN326" s="203">
        <f t="shared" si="426"/>
        <v>0</v>
      </c>
      <c r="AO326" s="205">
        <f>Z326*S326</f>
        <v>0</v>
      </c>
      <c r="AP326" s="205">
        <f>Z326*T326</f>
        <v>0</v>
      </c>
      <c r="AQ326" s="205">
        <f>AA326</f>
        <v>0</v>
      </c>
      <c r="AR326" s="205">
        <f>W326*S326</f>
        <v>0</v>
      </c>
      <c r="AS326" s="205">
        <f>W326*T326</f>
        <v>0</v>
      </c>
      <c r="AT326" s="209">
        <f t="shared" si="387"/>
        <v>0</v>
      </c>
      <c r="AU326" s="209">
        <f t="shared" si="387"/>
        <v>0</v>
      </c>
      <c r="AV326" s="203"/>
      <c r="AW326" s="251">
        <f>R326*S326</f>
        <v>0</v>
      </c>
      <c r="AX326" s="251"/>
      <c r="AY326" s="838">
        <f>AW326</f>
        <v>0</v>
      </c>
      <c r="AZ326" s="838"/>
      <c r="BA326" s="840"/>
    </row>
    <row r="327" spans="2:53" s="76" customFormat="1" ht="58.5">
      <c r="B327" s="703">
        <f>B325+1</f>
        <v>225</v>
      </c>
      <c r="C327" s="197" t="s">
        <v>1789</v>
      </c>
      <c r="D327" s="198" t="s">
        <v>201</v>
      </c>
      <c r="E327" s="703" t="s">
        <v>202</v>
      </c>
      <c r="F327" s="703">
        <v>10</v>
      </c>
      <c r="G327" s="199">
        <v>5815</v>
      </c>
      <c r="H327" s="736"/>
      <c r="I327" s="199"/>
      <c r="J327" s="736"/>
      <c r="K327" s="199"/>
      <c r="L327" s="199"/>
      <c r="M327" s="736"/>
      <c r="N327" s="193"/>
      <c r="O327" s="731"/>
      <c r="P327" s="193"/>
      <c r="Q327" s="199"/>
      <c r="R327" s="199">
        <f>G327+I327+K327+L327+N327+P327+Q327</f>
        <v>5815</v>
      </c>
      <c r="S327" s="199">
        <v>1</v>
      </c>
      <c r="T327" s="199"/>
      <c r="U327" s="199"/>
      <c r="V327" s="736"/>
      <c r="W327" s="199"/>
      <c r="X327" s="718">
        <v>2</v>
      </c>
      <c r="Y327" s="737">
        <v>0</v>
      </c>
      <c r="Z327" s="199">
        <f>R327*Y327</f>
        <v>0</v>
      </c>
      <c r="AA327" s="199">
        <f>AH327</f>
        <v>1285</v>
      </c>
      <c r="AB327" s="199">
        <f>(R327+Z327)*S327+AA327</f>
        <v>7100</v>
      </c>
      <c r="AC327" s="738">
        <f>AF327</f>
        <v>12900</v>
      </c>
      <c r="AD327" s="738">
        <f>AB327+AC327</f>
        <v>20000</v>
      </c>
      <c r="AE327" s="202">
        <f>20000*S327</f>
        <v>20000</v>
      </c>
      <c r="AF327" s="202">
        <f>AE327-AB327</f>
        <v>12900</v>
      </c>
      <c r="AG327" s="738">
        <f>7100*S327</f>
        <v>7100</v>
      </c>
      <c r="AH327" s="202">
        <f>AG327-(R327+Z327)*S327</f>
        <v>1285</v>
      </c>
      <c r="AI327" s="203">
        <f>G327*S327</f>
        <v>5815</v>
      </c>
      <c r="AJ327" s="203">
        <f>G327*T327</f>
        <v>0</v>
      </c>
      <c r="AK327" s="203">
        <f>R327*S327</f>
        <v>5815</v>
      </c>
      <c r="AL327" s="203">
        <f>R327*T327</f>
        <v>0</v>
      </c>
      <c r="AM327" s="203">
        <f t="shared" si="426"/>
        <v>0</v>
      </c>
      <c r="AN327" s="203">
        <f t="shared" si="426"/>
        <v>0</v>
      </c>
      <c r="AO327" s="205">
        <f>Z327*S327</f>
        <v>0</v>
      </c>
      <c r="AP327" s="205">
        <f>Z327*T327</f>
        <v>0</v>
      </c>
      <c r="AQ327" s="205">
        <f>AA327</f>
        <v>1285</v>
      </c>
      <c r="AR327" s="205">
        <f>W327*S327</f>
        <v>0</v>
      </c>
      <c r="AS327" s="205">
        <f>W327*T327</f>
        <v>0</v>
      </c>
      <c r="AT327" s="209">
        <f t="shared" si="387"/>
        <v>5815</v>
      </c>
      <c r="AU327" s="209">
        <f t="shared" si="387"/>
        <v>0</v>
      </c>
      <c r="AV327" s="203"/>
      <c r="AW327" s="251">
        <f>R327*S327</f>
        <v>5815</v>
      </c>
      <c r="AX327" s="251"/>
      <c r="AY327" s="838">
        <f>AW327</f>
        <v>5815</v>
      </c>
      <c r="AZ327" s="838"/>
      <c r="BA327" s="840"/>
    </row>
    <row r="328" spans="2:53" s="76" customFormat="1" ht="34.5">
      <c r="B328" s="703"/>
      <c r="C328" s="180" t="s">
        <v>1736</v>
      </c>
      <c r="D328" s="207"/>
      <c r="E328" s="193"/>
      <c r="F328" s="193"/>
      <c r="G328" s="183">
        <f>SUM(G325:G327)</f>
        <v>11630</v>
      </c>
      <c r="H328" s="731"/>
      <c r="I328" s="193"/>
      <c r="J328" s="731"/>
      <c r="K328" s="193"/>
      <c r="L328" s="193"/>
      <c r="M328" s="731"/>
      <c r="N328" s="193"/>
      <c r="O328" s="731"/>
      <c r="P328" s="193"/>
      <c r="Q328" s="193"/>
      <c r="R328" s="183">
        <f>SUM(R325:R327)</f>
        <v>11630</v>
      </c>
      <c r="S328" s="183">
        <f>SUM(S325:S327)</f>
        <v>1</v>
      </c>
      <c r="T328" s="183">
        <f>SUM(T325:T327)</f>
        <v>0.25</v>
      </c>
      <c r="U328" s="183"/>
      <c r="V328" s="742"/>
      <c r="W328" s="183"/>
      <c r="X328" s="742"/>
      <c r="Y328" s="742"/>
      <c r="Z328" s="183">
        <f t="shared" ref="Z328:AV328" si="427">SUM(Z325:Z327)</f>
        <v>0</v>
      </c>
      <c r="AA328" s="183">
        <f t="shared" si="427"/>
        <v>1606.25</v>
      </c>
      <c r="AB328" s="183">
        <f t="shared" si="427"/>
        <v>8875</v>
      </c>
      <c r="AC328" s="183">
        <f t="shared" si="427"/>
        <v>16125</v>
      </c>
      <c r="AD328" s="183">
        <f t="shared" si="427"/>
        <v>25000</v>
      </c>
      <c r="AE328" s="183">
        <f t="shared" si="427"/>
        <v>25000</v>
      </c>
      <c r="AF328" s="183">
        <f t="shared" si="427"/>
        <v>16125</v>
      </c>
      <c r="AG328" s="183">
        <f t="shared" si="427"/>
        <v>8875</v>
      </c>
      <c r="AH328" s="183">
        <f t="shared" si="427"/>
        <v>1606.25</v>
      </c>
      <c r="AI328" s="183">
        <f t="shared" si="427"/>
        <v>5815</v>
      </c>
      <c r="AJ328" s="183">
        <f t="shared" si="427"/>
        <v>1453.75</v>
      </c>
      <c r="AK328" s="183">
        <f t="shared" si="427"/>
        <v>5815</v>
      </c>
      <c r="AL328" s="183">
        <f t="shared" si="427"/>
        <v>1453.75</v>
      </c>
      <c r="AM328" s="183">
        <f t="shared" si="427"/>
        <v>0</v>
      </c>
      <c r="AN328" s="183">
        <f t="shared" si="427"/>
        <v>0</v>
      </c>
      <c r="AO328" s="183">
        <f t="shared" si="427"/>
        <v>0</v>
      </c>
      <c r="AP328" s="183">
        <f t="shared" si="427"/>
        <v>0</v>
      </c>
      <c r="AQ328" s="183">
        <f t="shared" si="427"/>
        <v>1606.25</v>
      </c>
      <c r="AR328" s="183">
        <f t="shared" si="427"/>
        <v>0</v>
      </c>
      <c r="AS328" s="183">
        <f t="shared" si="427"/>
        <v>0</v>
      </c>
      <c r="AT328" s="183">
        <f t="shared" si="427"/>
        <v>5815</v>
      </c>
      <c r="AU328" s="183">
        <f t="shared" si="427"/>
        <v>1453.75</v>
      </c>
      <c r="AV328" s="183">
        <f t="shared" si="427"/>
        <v>0</v>
      </c>
      <c r="AW328" s="183">
        <f>SUM(AW325:AW327)</f>
        <v>7268.75</v>
      </c>
      <c r="AX328" s="251"/>
      <c r="AY328" s="840"/>
      <c r="AZ328" s="838"/>
      <c r="BA328" s="840"/>
    </row>
    <row r="329" spans="2:53" s="76" customFormat="1" ht="34.5">
      <c r="B329" s="703"/>
      <c r="C329" s="220" t="s">
        <v>1581</v>
      </c>
      <c r="D329" s="192"/>
      <c r="E329" s="193"/>
      <c r="F329" s="193"/>
      <c r="G329" s="193"/>
      <c r="H329" s="731"/>
      <c r="I329" s="193"/>
      <c r="J329" s="731"/>
      <c r="K329" s="193"/>
      <c r="L329" s="193"/>
      <c r="M329" s="731"/>
      <c r="N329" s="193"/>
      <c r="O329" s="731"/>
      <c r="P329" s="193"/>
      <c r="Q329" s="193"/>
      <c r="R329" s="193"/>
      <c r="S329" s="193"/>
      <c r="T329" s="193"/>
      <c r="U329" s="193"/>
      <c r="V329" s="732"/>
      <c r="W329" s="193"/>
      <c r="X329" s="732"/>
      <c r="Y329" s="732"/>
      <c r="Z329" s="193"/>
      <c r="AA329" s="193"/>
      <c r="AB329" s="193"/>
      <c r="AC329" s="195"/>
      <c r="AD329" s="195"/>
      <c r="AE329" s="195"/>
      <c r="AF329" s="195"/>
      <c r="AG329" s="195"/>
      <c r="AH329" s="195"/>
      <c r="AI329" s="203"/>
      <c r="AJ329" s="203"/>
      <c r="AK329" s="203"/>
      <c r="AL329" s="203"/>
      <c r="AM329" s="203"/>
      <c r="AN329" s="203"/>
      <c r="AO329" s="205"/>
      <c r="AP329" s="205"/>
      <c r="AQ329" s="205"/>
      <c r="AR329" s="205"/>
      <c r="AS329" s="205"/>
      <c r="AT329" s="209"/>
      <c r="AU329" s="209"/>
      <c r="AV329" s="203"/>
      <c r="AW329" s="251"/>
      <c r="AX329" s="251"/>
      <c r="AY329" s="840"/>
      <c r="AZ329" s="838"/>
      <c r="BA329" s="840"/>
    </row>
    <row r="330" spans="2:53" s="76" customFormat="1" ht="63">
      <c r="B330" s="703">
        <f>B327+1</f>
        <v>226</v>
      </c>
      <c r="C330" s="197" t="s">
        <v>1080</v>
      </c>
      <c r="D330" s="198" t="s">
        <v>1176</v>
      </c>
      <c r="E330" s="703" t="s">
        <v>1067</v>
      </c>
      <c r="F330" s="703">
        <v>9</v>
      </c>
      <c r="G330" s="199">
        <v>5527</v>
      </c>
      <c r="H330" s="737">
        <v>0.1</v>
      </c>
      <c r="I330" s="703">
        <f>G330*H330</f>
        <v>552.70000000000005</v>
      </c>
      <c r="J330" s="741"/>
      <c r="K330" s="206"/>
      <c r="L330" s="206"/>
      <c r="M330" s="741"/>
      <c r="N330" s="206"/>
      <c r="O330" s="741"/>
      <c r="P330" s="206"/>
      <c r="Q330" s="206"/>
      <c r="R330" s="199">
        <f t="shared" ref="R330:R335" si="428">G330+I330+K330+L330+N330+P330+Q330</f>
        <v>6079.7</v>
      </c>
      <c r="S330" s="199">
        <v>1</v>
      </c>
      <c r="T330" s="206"/>
      <c r="U330" s="206"/>
      <c r="V330" s="741"/>
      <c r="W330" s="206"/>
      <c r="X330" s="718">
        <v>41</v>
      </c>
      <c r="Y330" s="737">
        <v>0.3</v>
      </c>
      <c r="Z330" s="199">
        <f t="shared" ref="Z330:Z335" si="429">R330*Y330</f>
        <v>1823.9099999999999</v>
      </c>
      <c r="AA330" s="199"/>
      <c r="AB330" s="199">
        <f>(R330+Z330)*S330</f>
        <v>7903.61</v>
      </c>
      <c r="AC330" s="738">
        <f t="shared" ref="AC330:AC335" si="430">AF330</f>
        <v>5596.39</v>
      </c>
      <c r="AD330" s="738">
        <f t="shared" ref="AD330:AD335" si="431">AB330+AC330</f>
        <v>13500</v>
      </c>
      <c r="AE330" s="202">
        <f t="shared" ref="AE330:AE335" si="432">13500*S330</f>
        <v>13500</v>
      </c>
      <c r="AF330" s="202">
        <f t="shared" ref="AF330:AF335" si="433">AE330-AB330</f>
        <v>5596.39</v>
      </c>
      <c r="AG330" s="738">
        <f t="shared" ref="AG330:AG335" si="434">7100*S330</f>
        <v>7100</v>
      </c>
      <c r="AH330" s="202"/>
      <c r="AI330" s="203">
        <f t="shared" ref="AI330:AI335" si="435">G330*S330</f>
        <v>5527</v>
      </c>
      <c r="AJ330" s="203">
        <f t="shared" ref="AJ330:AJ335" si="436">G330*T330</f>
        <v>0</v>
      </c>
      <c r="AK330" s="203">
        <f t="shared" ref="AK330:AK335" si="437">R330*S330</f>
        <v>6079.7</v>
      </c>
      <c r="AL330" s="203">
        <f t="shared" ref="AL330:AL335" si="438">R330*T330</f>
        <v>0</v>
      </c>
      <c r="AM330" s="203">
        <f t="shared" ref="AM330:AN335" si="439">AK330-AI330</f>
        <v>552.69999999999982</v>
      </c>
      <c r="AN330" s="203">
        <f t="shared" si="439"/>
        <v>0</v>
      </c>
      <c r="AO330" s="205">
        <f t="shared" ref="AO330:AO335" si="440">Z330*S330</f>
        <v>1823.9099999999999</v>
      </c>
      <c r="AP330" s="205">
        <f t="shared" ref="AP330:AP335" si="441">Z330*T330</f>
        <v>0</v>
      </c>
      <c r="AQ330" s="205">
        <f t="shared" ref="AQ330:AQ335" si="442">AA330</f>
        <v>0</v>
      </c>
      <c r="AR330" s="205">
        <f t="shared" ref="AR330:AR335" si="443">W330*S330</f>
        <v>0</v>
      </c>
      <c r="AS330" s="205">
        <f t="shared" ref="AS330:AS335" si="444">W330*T330</f>
        <v>0</v>
      </c>
      <c r="AT330" s="209">
        <f t="shared" si="387"/>
        <v>6079.7</v>
      </c>
      <c r="AU330" s="209">
        <f t="shared" si="387"/>
        <v>0</v>
      </c>
      <c r="AV330" s="203"/>
      <c r="AW330" s="251">
        <f t="shared" ref="AW330:AW335" si="445">R330*S330</f>
        <v>6079.7</v>
      </c>
      <c r="AX330" s="251"/>
      <c r="AY330" s="838">
        <f t="shared" ref="AY330:AY335" si="446">AW330</f>
        <v>6079.7</v>
      </c>
      <c r="AZ330" s="838"/>
      <c r="BA330" s="840"/>
    </row>
    <row r="331" spans="2:53" s="76" customFormat="1" ht="63">
      <c r="B331" s="703">
        <f t="shared" si="384"/>
        <v>227</v>
      </c>
      <c r="C331" s="197" t="s">
        <v>1064</v>
      </c>
      <c r="D331" s="198" t="s">
        <v>1751</v>
      </c>
      <c r="E331" s="703" t="s">
        <v>1177</v>
      </c>
      <c r="F331" s="703">
        <v>6</v>
      </c>
      <c r="G331" s="199">
        <v>4633</v>
      </c>
      <c r="H331" s="736"/>
      <c r="I331" s="199"/>
      <c r="J331" s="736"/>
      <c r="K331" s="199"/>
      <c r="L331" s="199"/>
      <c r="M331" s="736"/>
      <c r="N331" s="199"/>
      <c r="O331" s="736"/>
      <c r="P331" s="199"/>
      <c r="Q331" s="199"/>
      <c r="R331" s="199">
        <f t="shared" si="428"/>
        <v>4633</v>
      </c>
      <c r="S331" s="199">
        <v>1</v>
      </c>
      <c r="T331" s="206"/>
      <c r="U331" s="206"/>
      <c r="V331" s="741"/>
      <c r="W331" s="206"/>
      <c r="X331" s="718">
        <v>27</v>
      </c>
      <c r="Y331" s="737">
        <v>0.3</v>
      </c>
      <c r="Z331" s="199">
        <f t="shared" si="429"/>
        <v>1389.8999999999999</v>
      </c>
      <c r="AA331" s="199">
        <f>AH331</f>
        <v>1077.1000000000001</v>
      </c>
      <c r="AB331" s="199">
        <f>(R331+Z331)*S331+AA331</f>
        <v>7100</v>
      </c>
      <c r="AC331" s="738">
        <f t="shared" si="430"/>
        <v>6400</v>
      </c>
      <c r="AD331" s="738">
        <f>AB331+AC331</f>
        <v>13500</v>
      </c>
      <c r="AE331" s="202">
        <f>13500*S331</f>
        <v>13500</v>
      </c>
      <c r="AF331" s="202">
        <f>AE331-AB331</f>
        <v>6400</v>
      </c>
      <c r="AG331" s="738">
        <f t="shared" si="434"/>
        <v>7100</v>
      </c>
      <c r="AH331" s="202">
        <f>AG331-(R331*S331)-Z331</f>
        <v>1077.1000000000001</v>
      </c>
      <c r="AI331" s="203">
        <f t="shared" si="435"/>
        <v>4633</v>
      </c>
      <c r="AJ331" s="203">
        <f t="shared" si="436"/>
        <v>0</v>
      </c>
      <c r="AK331" s="203">
        <f t="shared" si="437"/>
        <v>4633</v>
      </c>
      <c r="AL331" s="203">
        <f t="shared" si="438"/>
        <v>0</v>
      </c>
      <c r="AM331" s="203">
        <f t="shared" si="439"/>
        <v>0</v>
      </c>
      <c r="AN331" s="203">
        <f t="shared" si="439"/>
        <v>0</v>
      </c>
      <c r="AO331" s="205">
        <f t="shared" si="440"/>
        <v>1389.8999999999999</v>
      </c>
      <c r="AP331" s="205">
        <f t="shared" si="441"/>
        <v>0</v>
      </c>
      <c r="AQ331" s="205">
        <f t="shared" si="442"/>
        <v>1077.1000000000001</v>
      </c>
      <c r="AR331" s="205">
        <f t="shared" si="443"/>
        <v>0</v>
      </c>
      <c r="AS331" s="205">
        <f t="shared" si="444"/>
        <v>0</v>
      </c>
      <c r="AT331" s="209">
        <f t="shared" si="387"/>
        <v>4633</v>
      </c>
      <c r="AU331" s="209">
        <f t="shared" si="387"/>
        <v>0</v>
      </c>
      <c r="AV331" s="203"/>
      <c r="AW331" s="251">
        <f t="shared" si="445"/>
        <v>4633</v>
      </c>
      <c r="AX331" s="251"/>
      <c r="AY331" s="838">
        <f t="shared" si="446"/>
        <v>4633</v>
      </c>
      <c r="AZ331" s="838"/>
      <c r="BA331" s="840"/>
    </row>
    <row r="332" spans="2:53" s="76" customFormat="1" ht="63">
      <c r="B332" s="703">
        <f t="shared" si="384"/>
        <v>228</v>
      </c>
      <c r="C332" s="197" t="s">
        <v>1064</v>
      </c>
      <c r="D332" s="198" t="s">
        <v>1135</v>
      </c>
      <c r="E332" s="703" t="s">
        <v>1136</v>
      </c>
      <c r="F332" s="703">
        <v>9</v>
      </c>
      <c r="G332" s="199">
        <v>5527</v>
      </c>
      <c r="H332" s="736"/>
      <c r="I332" s="199"/>
      <c r="J332" s="736"/>
      <c r="K332" s="199"/>
      <c r="L332" s="199"/>
      <c r="M332" s="736"/>
      <c r="N332" s="199"/>
      <c r="O332" s="736"/>
      <c r="P332" s="199"/>
      <c r="Q332" s="199"/>
      <c r="R332" s="199">
        <f t="shared" si="428"/>
        <v>5527</v>
      </c>
      <c r="S332" s="199">
        <v>1</v>
      </c>
      <c r="T332" s="199"/>
      <c r="U332" s="206"/>
      <c r="V332" s="741"/>
      <c r="W332" s="206"/>
      <c r="X332" s="718">
        <v>34</v>
      </c>
      <c r="Y332" s="737">
        <v>0.3</v>
      </c>
      <c r="Z332" s="199">
        <f t="shared" si="429"/>
        <v>1658.1</v>
      </c>
      <c r="AA332" s="199"/>
      <c r="AB332" s="199">
        <f>(R332+Z332)*S332+AA332</f>
        <v>7185.1</v>
      </c>
      <c r="AC332" s="738">
        <f t="shared" si="430"/>
        <v>6314.9</v>
      </c>
      <c r="AD332" s="738">
        <f>AB332+AC332</f>
        <v>13500</v>
      </c>
      <c r="AE332" s="202">
        <f>13500*S332</f>
        <v>13500</v>
      </c>
      <c r="AF332" s="202">
        <f>AE332-AB332</f>
        <v>6314.9</v>
      </c>
      <c r="AG332" s="738">
        <f t="shared" si="434"/>
        <v>7100</v>
      </c>
      <c r="AH332" s="202">
        <f>AG332-(R332*S332)-Z332</f>
        <v>-85.099999999999909</v>
      </c>
      <c r="AI332" s="203">
        <f t="shared" si="435"/>
        <v>5527</v>
      </c>
      <c r="AJ332" s="203">
        <f t="shared" si="436"/>
        <v>0</v>
      </c>
      <c r="AK332" s="203">
        <f t="shared" si="437"/>
        <v>5527</v>
      </c>
      <c r="AL332" s="203">
        <f t="shared" si="438"/>
        <v>0</v>
      </c>
      <c r="AM332" s="203">
        <f t="shared" si="439"/>
        <v>0</v>
      </c>
      <c r="AN332" s="203">
        <f t="shared" si="439"/>
        <v>0</v>
      </c>
      <c r="AO332" s="205">
        <f t="shared" si="440"/>
        <v>1658.1</v>
      </c>
      <c r="AP332" s="205">
        <f t="shared" si="441"/>
        <v>0</v>
      </c>
      <c r="AQ332" s="205">
        <f t="shared" si="442"/>
        <v>0</v>
      </c>
      <c r="AR332" s="205">
        <f t="shared" si="443"/>
        <v>0</v>
      </c>
      <c r="AS332" s="205">
        <f t="shared" si="444"/>
        <v>0</v>
      </c>
      <c r="AT332" s="209">
        <f t="shared" si="387"/>
        <v>5527</v>
      </c>
      <c r="AU332" s="209">
        <f t="shared" si="387"/>
        <v>0</v>
      </c>
      <c r="AV332" s="203"/>
      <c r="AW332" s="251">
        <f t="shared" si="445"/>
        <v>5527</v>
      </c>
      <c r="AX332" s="251"/>
      <c r="AY332" s="838">
        <f t="shared" si="446"/>
        <v>5527</v>
      </c>
      <c r="AZ332" s="838"/>
      <c r="BA332" s="840"/>
    </row>
    <row r="333" spans="2:53" s="76" customFormat="1" ht="63">
      <c r="B333" s="703">
        <f t="shared" si="384"/>
        <v>229</v>
      </c>
      <c r="C333" s="197" t="s">
        <v>1064</v>
      </c>
      <c r="D333" s="198" t="s">
        <v>1751</v>
      </c>
      <c r="E333" s="703" t="s">
        <v>1065</v>
      </c>
      <c r="F333" s="703">
        <v>6</v>
      </c>
      <c r="G333" s="199">
        <v>4633</v>
      </c>
      <c r="H333" s="736"/>
      <c r="I333" s="199"/>
      <c r="J333" s="736"/>
      <c r="K333" s="199"/>
      <c r="L333" s="199"/>
      <c r="M333" s="736"/>
      <c r="N333" s="199"/>
      <c r="O333" s="736"/>
      <c r="P333" s="199"/>
      <c r="Q333" s="199"/>
      <c r="R333" s="199">
        <f t="shared" si="428"/>
        <v>4633</v>
      </c>
      <c r="S333" s="199">
        <v>1</v>
      </c>
      <c r="T333" s="206"/>
      <c r="U333" s="206"/>
      <c r="V333" s="741"/>
      <c r="W333" s="206"/>
      <c r="X333" s="718">
        <v>4</v>
      </c>
      <c r="Y333" s="737">
        <v>0.1</v>
      </c>
      <c r="Z333" s="199">
        <f t="shared" si="429"/>
        <v>463.3</v>
      </c>
      <c r="AA333" s="199">
        <f>AH333</f>
        <v>2003.7</v>
      </c>
      <c r="AB333" s="199">
        <f>(R333+Z333)*S333+AA333</f>
        <v>7100</v>
      </c>
      <c r="AC333" s="738">
        <f t="shared" si="430"/>
        <v>6400</v>
      </c>
      <c r="AD333" s="738">
        <f t="shared" si="431"/>
        <v>13500</v>
      </c>
      <c r="AE333" s="202">
        <f t="shared" si="432"/>
        <v>13500</v>
      </c>
      <c r="AF333" s="202">
        <f t="shared" si="433"/>
        <v>6400</v>
      </c>
      <c r="AG333" s="738">
        <f t="shared" si="434"/>
        <v>7100</v>
      </c>
      <c r="AH333" s="202">
        <f>AG333-(R333*S333)-Z333</f>
        <v>2003.7</v>
      </c>
      <c r="AI333" s="203">
        <f t="shared" si="435"/>
        <v>4633</v>
      </c>
      <c r="AJ333" s="203">
        <f t="shared" si="436"/>
        <v>0</v>
      </c>
      <c r="AK333" s="203">
        <f t="shared" si="437"/>
        <v>4633</v>
      </c>
      <c r="AL333" s="203">
        <f t="shared" si="438"/>
        <v>0</v>
      </c>
      <c r="AM333" s="203">
        <f t="shared" si="439"/>
        <v>0</v>
      </c>
      <c r="AN333" s="203">
        <f t="shared" si="439"/>
        <v>0</v>
      </c>
      <c r="AO333" s="205">
        <f t="shared" si="440"/>
        <v>463.3</v>
      </c>
      <c r="AP333" s="205">
        <f t="shared" si="441"/>
        <v>0</v>
      </c>
      <c r="AQ333" s="205">
        <f t="shared" si="442"/>
        <v>2003.7</v>
      </c>
      <c r="AR333" s="205">
        <f t="shared" si="443"/>
        <v>0</v>
      </c>
      <c r="AS333" s="205">
        <f t="shared" si="444"/>
        <v>0</v>
      </c>
      <c r="AT333" s="209">
        <f t="shared" si="387"/>
        <v>4633</v>
      </c>
      <c r="AU333" s="209">
        <f t="shared" si="387"/>
        <v>0</v>
      </c>
      <c r="AV333" s="203"/>
      <c r="AW333" s="251">
        <f t="shared" si="445"/>
        <v>4633</v>
      </c>
      <c r="AX333" s="251"/>
      <c r="AY333" s="838">
        <f t="shared" si="446"/>
        <v>4633</v>
      </c>
      <c r="AZ333" s="838"/>
      <c r="BA333" s="840"/>
    </row>
    <row r="334" spans="2:53" s="76" customFormat="1" ht="63">
      <c r="B334" s="703">
        <f t="shared" si="384"/>
        <v>230</v>
      </c>
      <c r="C334" s="197" t="s">
        <v>1064</v>
      </c>
      <c r="D334" s="198" t="s">
        <v>1812</v>
      </c>
      <c r="E334" s="703" t="s">
        <v>1178</v>
      </c>
      <c r="F334" s="703">
        <v>9</v>
      </c>
      <c r="G334" s="199">
        <v>5527</v>
      </c>
      <c r="H334" s="736"/>
      <c r="I334" s="199"/>
      <c r="J334" s="736"/>
      <c r="K334" s="199"/>
      <c r="L334" s="199"/>
      <c r="M334" s="736"/>
      <c r="N334" s="199"/>
      <c r="O334" s="736"/>
      <c r="P334" s="199"/>
      <c r="Q334" s="199"/>
      <c r="R334" s="199">
        <f t="shared" si="428"/>
        <v>5527</v>
      </c>
      <c r="S334" s="199">
        <v>1</v>
      </c>
      <c r="T334" s="199"/>
      <c r="U334" s="199"/>
      <c r="V334" s="736"/>
      <c r="W334" s="199"/>
      <c r="X334" s="718">
        <v>37</v>
      </c>
      <c r="Y334" s="737">
        <v>0.3</v>
      </c>
      <c r="Z334" s="199">
        <f t="shared" si="429"/>
        <v>1658.1</v>
      </c>
      <c r="AA334" s="199"/>
      <c r="AB334" s="199">
        <f>(R334+Z334)*S334+AA334</f>
        <v>7185.1</v>
      </c>
      <c r="AC334" s="738">
        <f t="shared" si="430"/>
        <v>6314.9</v>
      </c>
      <c r="AD334" s="738">
        <f t="shared" si="431"/>
        <v>13500</v>
      </c>
      <c r="AE334" s="202">
        <f t="shared" si="432"/>
        <v>13500</v>
      </c>
      <c r="AF334" s="202">
        <f t="shared" si="433"/>
        <v>6314.9</v>
      </c>
      <c r="AG334" s="738">
        <f t="shared" si="434"/>
        <v>7100</v>
      </c>
      <c r="AH334" s="202">
        <f>AG334-(R334*S334)-Z334</f>
        <v>-85.099999999999909</v>
      </c>
      <c r="AI334" s="203">
        <f t="shared" si="435"/>
        <v>5527</v>
      </c>
      <c r="AJ334" s="203">
        <f t="shared" si="436"/>
        <v>0</v>
      </c>
      <c r="AK334" s="203">
        <f t="shared" si="437"/>
        <v>5527</v>
      </c>
      <c r="AL334" s="203">
        <f t="shared" si="438"/>
        <v>0</v>
      </c>
      <c r="AM334" s="203">
        <f t="shared" si="439"/>
        <v>0</v>
      </c>
      <c r="AN334" s="203">
        <f t="shared" si="439"/>
        <v>0</v>
      </c>
      <c r="AO334" s="205">
        <f t="shared" si="440"/>
        <v>1658.1</v>
      </c>
      <c r="AP334" s="205">
        <f t="shared" si="441"/>
        <v>0</v>
      </c>
      <c r="AQ334" s="205">
        <f t="shared" si="442"/>
        <v>0</v>
      </c>
      <c r="AR334" s="205">
        <f t="shared" si="443"/>
        <v>0</v>
      </c>
      <c r="AS334" s="205">
        <f t="shared" si="444"/>
        <v>0</v>
      </c>
      <c r="AT334" s="209">
        <f t="shared" si="387"/>
        <v>5527</v>
      </c>
      <c r="AU334" s="209">
        <f t="shared" si="387"/>
        <v>0</v>
      </c>
      <c r="AV334" s="203"/>
      <c r="AW334" s="251">
        <f t="shared" si="445"/>
        <v>5527</v>
      </c>
      <c r="AX334" s="251"/>
      <c r="AY334" s="838">
        <f t="shared" si="446"/>
        <v>5527</v>
      </c>
      <c r="AZ334" s="838"/>
      <c r="BA334" s="840"/>
    </row>
    <row r="335" spans="2:53" s="76" customFormat="1" ht="63">
      <c r="B335" s="703">
        <f t="shared" si="384"/>
        <v>231</v>
      </c>
      <c r="C335" s="197" t="s">
        <v>1064</v>
      </c>
      <c r="D335" s="198" t="s">
        <v>1071</v>
      </c>
      <c r="E335" s="703" t="s">
        <v>1179</v>
      </c>
      <c r="F335" s="703">
        <v>9</v>
      </c>
      <c r="G335" s="199">
        <v>5527</v>
      </c>
      <c r="H335" s="736"/>
      <c r="I335" s="199"/>
      <c r="J335" s="736"/>
      <c r="K335" s="199"/>
      <c r="L335" s="199"/>
      <c r="M335" s="736"/>
      <c r="N335" s="199"/>
      <c r="O335" s="736"/>
      <c r="P335" s="206"/>
      <c r="Q335" s="206"/>
      <c r="R335" s="199">
        <f t="shared" si="428"/>
        <v>5527</v>
      </c>
      <c r="S335" s="199">
        <v>1</v>
      </c>
      <c r="T335" s="199"/>
      <c r="U335" s="206"/>
      <c r="V335" s="741"/>
      <c r="W335" s="206"/>
      <c r="X335" s="718">
        <v>37</v>
      </c>
      <c r="Y335" s="737">
        <v>0.3</v>
      </c>
      <c r="Z335" s="199">
        <f t="shared" si="429"/>
        <v>1658.1</v>
      </c>
      <c r="AA335" s="199"/>
      <c r="AB335" s="199">
        <f>(R335+Z335)*S335+AA335</f>
        <v>7185.1</v>
      </c>
      <c r="AC335" s="738">
        <f t="shared" si="430"/>
        <v>6314.9</v>
      </c>
      <c r="AD335" s="738">
        <f t="shared" si="431"/>
        <v>13500</v>
      </c>
      <c r="AE335" s="202">
        <f t="shared" si="432"/>
        <v>13500</v>
      </c>
      <c r="AF335" s="202">
        <f t="shared" si="433"/>
        <v>6314.9</v>
      </c>
      <c r="AG335" s="738">
        <f t="shared" si="434"/>
        <v>7100</v>
      </c>
      <c r="AH335" s="202">
        <f>AG335-(R335*S335)-Z335</f>
        <v>-85.099999999999909</v>
      </c>
      <c r="AI335" s="203">
        <f t="shared" si="435"/>
        <v>5527</v>
      </c>
      <c r="AJ335" s="203">
        <f t="shared" si="436"/>
        <v>0</v>
      </c>
      <c r="AK335" s="203">
        <f t="shared" si="437"/>
        <v>5527</v>
      </c>
      <c r="AL335" s="203">
        <f t="shared" si="438"/>
        <v>0</v>
      </c>
      <c r="AM335" s="203">
        <f t="shared" si="439"/>
        <v>0</v>
      </c>
      <c r="AN335" s="203">
        <f t="shared" si="439"/>
        <v>0</v>
      </c>
      <c r="AO335" s="205">
        <f t="shared" si="440"/>
        <v>1658.1</v>
      </c>
      <c r="AP335" s="205">
        <f t="shared" si="441"/>
        <v>0</v>
      </c>
      <c r="AQ335" s="205">
        <f t="shared" si="442"/>
        <v>0</v>
      </c>
      <c r="AR335" s="205">
        <f t="shared" si="443"/>
        <v>0</v>
      </c>
      <c r="AS335" s="205">
        <f t="shared" si="444"/>
        <v>0</v>
      </c>
      <c r="AT335" s="209">
        <f t="shared" si="387"/>
        <v>5527</v>
      </c>
      <c r="AU335" s="209">
        <f t="shared" si="387"/>
        <v>0</v>
      </c>
      <c r="AV335" s="203"/>
      <c r="AW335" s="251">
        <f t="shared" si="445"/>
        <v>5527</v>
      </c>
      <c r="AX335" s="251"/>
      <c r="AY335" s="838">
        <f t="shared" si="446"/>
        <v>5527</v>
      </c>
      <c r="AZ335" s="838"/>
      <c r="BA335" s="840"/>
    </row>
    <row r="336" spans="2:53" s="76" customFormat="1" ht="34.5">
      <c r="B336" s="703"/>
      <c r="C336" s="180" t="s">
        <v>1736</v>
      </c>
      <c r="D336" s="207"/>
      <c r="E336" s="193"/>
      <c r="F336" s="193"/>
      <c r="G336" s="183">
        <f>SUM(G330:G335)</f>
        <v>31374</v>
      </c>
      <c r="H336" s="752"/>
      <c r="I336" s="183">
        <f>SUM(I330:I335)</f>
        <v>552.70000000000005</v>
      </c>
      <c r="J336" s="731"/>
      <c r="K336" s="193"/>
      <c r="L336" s="193"/>
      <c r="M336" s="731"/>
      <c r="N336" s="193"/>
      <c r="O336" s="731"/>
      <c r="P336" s="193"/>
      <c r="Q336" s="193"/>
      <c r="R336" s="183">
        <f>SUM(R330:R335)</f>
        <v>31926.7</v>
      </c>
      <c r="S336" s="183">
        <f>SUM(S330:S335)</f>
        <v>6</v>
      </c>
      <c r="T336" s="183">
        <f>SUM(T330:T335)</f>
        <v>0</v>
      </c>
      <c r="U336" s="183"/>
      <c r="V336" s="742"/>
      <c r="W336" s="183"/>
      <c r="X336" s="742"/>
      <c r="Y336" s="742"/>
      <c r="Z336" s="183">
        <f>SUM(Z330:Z335)</f>
        <v>8651.41</v>
      </c>
      <c r="AA336" s="183">
        <f>SUM(AA330:AA335)</f>
        <v>3080.8</v>
      </c>
      <c r="AB336" s="183">
        <f>SUM(AB330:AB335)</f>
        <v>43658.909999999996</v>
      </c>
      <c r="AC336" s="183">
        <f t="shared" ref="AC336:AV336" si="447">SUM(AC330:AC335)</f>
        <v>37341.090000000004</v>
      </c>
      <c r="AD336" s="183">
        <f>SUM(AD330:AD335)</f>
        <v>81000</v>
      </c>
      <c r="AE336" s="183">
        <f t="shared" si="447"/>
        <v>81000</v>
      </c>
      <c r="AF336" s="183">
        <f t="shared" si="447"/>
        <v>37341.090000000004</v>
      </c>
      <c r="AG336" s="183">
        <f t="shared" si="447"/>
        <v>42600</v>
      </c>
      <c r="AH336" s="183">
        <f t="shared" si="447"/>
        <v>2825.5000000000005</v>
      </c>
      <c r="AI336" s="183">
        <f t="shared" si="447"/>
        <v>31374</v>
      </c>
      <c r="AJ336" s="183">
        <f t="shared" si="447"/>
        <v>0</v>
      </c>
      <c r="AK336" s="183">
        <f t="shared" si="447"/>
        <v>31926.7</v>
      </c>
      <c r="AL336" s="183">
        <f t="shared" si="447"/>
        <v>0</v>
      </c>
      <c r="AM336" s="183">
        <f t="shared" si="447"/>
        <v>552.69999999999982</v>
      </c>
      <c r="AN336" s="183">
        <f t="shared" si="447"/>
        <v>0</v>
      </c>
      <c r="AO336" s="183">
        <f t="shared" si="447"/>
        <v>8651.41</v>
      </c>
      <c r="AP336" s="183">
        <f t="shared" si="447"/>
        <v>0</v>
      </c>
      <c r="AQ336" s="183">
        <f t="shared" si="447"/>
        <v>3080.8</v>
      </c>
      <c r="AR336" s="183">
        <f t="shared" si="447"/>
        <v>0</v>
      </c>
      <c r="AS336" s="183">
        <f t="shared" si="447"/>
        <v>0</v>
      </c>
      <c r="AT336" s="183">
        <f t="shared" si="447"/>
        <v>31926.7</v>
      </c>
      <c r="AU336" s="183">
        <f t="shared" si="447"/>
        <v>0</v>
      </c>
      <c r="AV336" s="183">
        <f t="shared" si="447"/>
        <v>0</v>
      </c>
      <c r="AW336" s="183">
        <f>SUM(AW330:AW335)</f>
        <v>31926.7</v>
      </c>
      <c r="AX336" s="251"/>
      <c r="AY336" s="840"/>
      <c r="AZ336" s="838"/>
      <c r="BA336" s="840"/>
    </row>
    <row r="337" spans="2:53" s="76" customFormat="1" ht="34.5">
      <c r="B337" s="703"/>
      <c r="C337" s="220" t="s">
        <v>1874</v>
      </c>
      <c r="D337" s="207"/>
      <c r="E337" s="193"/>
      <c r="F337" s="193"/>
      <c r="G337" s="183"/>
      <c r="H337" s="752"/>
      <c r="I337" s="183"/>
      <c r="J337" s="731"/>
      <c r="K337" s="193"/>
      <c r="L337" s="193"/>
      <c r="M337" s="731"/>
      <c r="N337" s="193"/>
      <c r="O337" s="731"/>
      <c r="P337" s="193"/>
      <c r="Q337" s="193"/>
      <c r="R337" s="183"/>
      <c r="S337" s="183"/>
      <c r="T337" s="183"/>
      <c r="U337" s="183"/>
      <c r="V337" s="742"/>
      <c r="W337" s="183"/>
      <c r="X337" s="742"/>
      <c r="Y337" s="742"/>
      <c r="Z337" s="183"/>
      <c r="AA337" s="183"/>
      <c r="AB337" s="183"/>
      <c r="AC337" s="208"/>
      <c r="AD337" s="208"/>
      <c r="AE337" s="208"/>
      <c r="AF337" s="208"/>
      <c r="AG337" s="208"/>
      <c r="AH337" s="208"/>
      <c r="AI337" s="203"/>
      <c r="AJ337" s="203"/>
      <c r="AK337" s="203"/>
      <c r="AL337" s="203"/>
      <c r="AM337" s="203"/>
      <c r="AN337" s="203"/>
      <c r="AO337" s="205"/>
      <c r="AP337" s="205"/>
      <c r="AQ337" s="205"/>
      <c r="AR337" s="205"/>
      <c r="AS337" s="205"/>
      <c r="AT337" s="209"/>
      <c r="AU337" s="209"/>
      <c r="AV337" s="203"/>
      <c r="AW337" s="251"/>
      <c r="AX337" s="251"/>
      <c r="AY337" s="840"/>
      <c r="AZ337" s="838"/>
      <c r="BA337" s="840"/>
    </row>
    <row r="338" spans="2:53" s="76" customFormat="1" ht="63">
      <c r="B338" s="703">
        <f>B335+1</f>
        <v>232</v>
      </c>
      <c r="C338" s="197" t="s">
        <v>1213</v>
      </c>
      <c r="D338" s="198"/>
      <c r="E338" s="703" t="s">
        <v>1215</v>
      </c>
      <c r="F338" s="703">
        <v>3</v>
      </c>
      <c r="G338" s="199">
        <v>3770</v>
      </c>
      <c r="H338" s="736"/>
      <c r="I338" s="199"/>
      <c r="J338" s="741"/>
      <c r="K338" s="206"/>
      <c r="L338" s="206"/>
      <c r="M338" s="741"/>
      <c r="N338" s="206"/>
      <c r="O338" s="741"/>
      <c r="P338" s="206"/>
      <c r="Q338" s="206"/>
      <c r="R338" s="199">
        <f>G338+I338+K338+L338+N338+P338+Q338</f>
        <v>3770</v>
      </c>
      <c r="S338" s="199">
        <v>1</v>
      </c>
      <c r="T338" s="206"/>
      <c r="U338" s="206"/>
      <c r="V338" s="737">
        <v>0.1</v>
      </c>
      <c r="W338" s="199">
        <f>R338*V338</f>
        <v>377</v>
      </c>
      <c r="X338" s="718"/>
      <c r="Y338" s="737"/>
      <c r="Z338" s="199"/>
      <c r="AA338" s="199">
        <f>AH338</f>
        <v>3330</v>
      </c>
      <c r="AB338" s="199">
        <f>(R338+Z338+U338+W338)*S338+AA338</f>
        <v>7477</v>
      </c>
      <c r="AC338" s="738">
        <f>AF338</f>
        <v>0</v>
      </c>
      <c r="AD338" s="738">
        <f>AB338+AC338</f>
        <v>7477</v>
      </c>
      <c r="AE338" s="202">
        <f>AB338</f>
        <v>7477</v>
      </c>
      <c r="AF338" s="202">
        <f>AE338-AB338</f>
        <v>0</v>
      </c>
      <c r="AG338" s="738">
        <f>7100*S338</f>
        <v>7100</v>
      </c>
      <c r="AH338" s="202">
        <f>AG338-(R338*S338)</f>
        <v>3330</v>
      </c>
      <c r="AI338" s="203">
        <f>G338*S338</f>
        <v>3770</v>
      </c>
      <c r="AJ338" s="203">
        <f>G338*T338</f>
        <v>0</v>
      </c>
      <c r="AK338" s="203">
        <f>R338*S338</f>
        <v>3770</v>
      </c>
      <c r="AL338" s="203">
        <f>R338*T338</f>
        <v>0</v>
      </c>
      <c r="AM338" s="203">
        <f t="shared" ref="AM338:AN342" si="448">AK338-AI338</f>
        <v>0</v>
      </c>
      <c r="AN338" s="203">
        <f t="shared" si="448"/>
        <v>0</v>
      </c>
      <c r="AO338" s="205">
        <f>Z338*S338</f>
        <v>0</v>
      </c>
      <c r="AP338" s="205">
        <f>Z338*T338</f>
        <v>0</v>
      </c>
      <c r="AQ338" s="205">
        <f>AA338</f>
        <v>3330</v>
      </c>
      <c r="AR338" s="205">
        <f>W338*S338</f>
        <v>377</v>
      </c>
      <c r="AS338" s="205">
        <f>W338*T338</f>
        <v>0</v>
      </c>
      <c r="AT338" s="209">
        <f t="shared" si="387"/>
        <v>3770</v>
      </c>
      <c r="AU338" s="209">
        <f t="shared" si="387"/>
        <v>0</v>
      </c>
      <c r="AV338" s="203"/>
      <c r="AW338" s="251">
        <f>R338*S338</f>
        <v>3770</v>
      </c>
      <c r="AX338" s="251"/>
      <c r="AY338" s="838">
        <f>AW338</f>
        <v>3770</v>
      </c>
      <c r="AZ338" s="838"/>
      <c r="BA338" s="840"/>
    </row>
    <row r="339" spans="2:53" s="76" customFormat="1" ht="63">
      <c r="B339" s="703">
        <f t="shared" si="384"/>
        <v>233</v>
      </c>
      <c r="C339" s="197" t="s">
        <v>1213</v>
      </c>
      <c r="D339" s="198"/>
      <c r="E339" s="703" t="s">
        <v>1216</v>
      </c>
      <c r="F339" s="703">
        <v>3</v>
      </c>
      <c r="G339" s="199">
        <v>3770</v>
      </c>
      <c r="H339" s="736"/>
      <c r="I339" s="199"/>
      <c r="J339" s="736"/>
      <c r="K339" s="199"/>
      <c r="L339" s="199"/>
      <c r="M339" s="736"/>
      <c r="N339" s="199"/>
      <c r="O339" s="736"/>
      <c r="P339" s="199"/>
      <c r="Q339" s="199"/>
      <c r="R339" s="199">
        <f>G339+I339+K339+L339+N339+P339+Q339</f>
        <v>3770</v>
      </c>
      <c r="S339" s="199">
        <v>1</v>
      </c>
      <c r="T339" s="206"/>
      <c r="U339" s="206"/>
      <c r="V339" s="737">
        <v>0.1</v>
      </c>
      <c r="W339" s="199">
        <f>R339*V339</f>
        <v>377</v>
      </c>
      <c r="X339" s="718"/>
      <c r="Y339" s="737"/>
      <c r="Z339" s="199"/>
      <c r="AA339" s="199">
        <f>AH339</f>
        <v>3330</v>
      </c>
      <c r="AB339" s="199">
        <f>(R339+Z339+U339+W339)*S339+AA339</f>
        <v>7477</v>
      </c>
      <c r="AC339" s="738">
        <f>AF339</f>
        <v>0</v>
      </c>
      <c r="AD339" s="738">
        <f>AB339+AC339</f>
        <v>7477</v>
      </c>
      <c r="AE339" s="202">
        <f>AB339</f>
        <v>7477</v>
      </c>
      <c r="AF339" s="202">
        <f>AE339-AB339</f>
        <v>0</v>
      </c>
      <c r="AG339" s="738">
        <f>7100*S339</f>
        <v>7100</v>
      </c>
      <c r="AH339" s="202">
        <f>AG339-(R339*S339)</f>
        <v>3330</v>
      </c>
      <c r="AI339" s="203">
        <f>G339*S339</f>
        <v>3770</v>
      </c>
      <c r="AJ339" s="203">
        <f>G339*T339</f>
        <v>0</v>
      </c>
      <c r="AK339" s="203">
        <f>R339*S339</f>
        <v>3770</v>
      </c>
      <c r="AL339" s="203">
        <f>R339*T339</f>
        <v>0</v>
      </c>
      <c r="AM339" s="203">
        <f t="shared" si="448"/>
        <v>0</v>
      </c>
      <c r="AN339" s="203">
        <f t="shared" si="448"/>
        <v>0</v>
      </c>
      <c r="AO339" s="205">
        <f>Z339*S339</f>
        <v>0</v>
      </c>
      <c r="AP339" s="205">
        <f>Z339*T339</f>
        <v>0</v>
      </c>
      <c r="AQ339" s="205">
        <f>AA339</f>
        <v>3330</v>
      </c>
      <c r="AR339" s="205">
        <f>W339*S339</f>
        <v>377</v>
      </c>
      <c r="AS339" s="205">
        <f>W339*T339</f>
        <v>0</v>
      </c>
      <c r="AT339" s="209">
        <f t="shared" si="387"/>
        <v>3770</v>
      </c>
      <c r="AU339" s="209">
        <f t="shared" si="387"/>
        <v>0</v>
      </c>
      <c r="AV339" s="203"/>
      <c r="AW339" s="251">
        <f>R339*S339</f>
        <v>3770</v>
      </c>
      <c r="AX339" s="251"/>
      <c r="AY339" s="838">
        <f>AW339</f>
        <v>3770</v>
      </c>
      <c r="AZ339" s="838"/>
      <c r="BA339" s="840"/>
    </row>
    <row r="340" spans="2:53" s="76" customFormat="1" ht="63">
      <c r="B340" s="703">
        <f t="shared" si="384"/>
        <v>234</v>
      </c>
      <c r="C340" s="197" t="s">
        <v>1213</v>
      </c>
      <c r="D340" s="198"/>
      <c r="E340" s="703" t="s">
        <v>1217</v>
      </c>
      <c r="F340" s="703">
        <v>3</v>
      </c>
      <c r="G340" s="199">
        <v>3770</v>
      </c>
      <c r="H340" s="736"/>
      <c r="I340" s="199"/>
      <c r="J340" s="736"/>
      <c r="K340" s="199"/>
      <c r="L340" s="199"/>
      <c r="M340" s="736"/>
      <c r="N340" s="199"/>
      <c r="O340" s="736"/>
      <c r="P340" s="199"/>
      <c r="Q340" s="199"/>
      <c r="R340" s="199">
        <f>G340+I340+K340+L340+N340+P340+Q340</f>
        <v>3770</v>
      </c>
      <c r="S340" s="199">
        <v>1</v>
      </c>
      <c r="T340" s="199"/>
      <c r="U340" s="199"/>
      <c r="V340" s="737">
        <v>0.1</v>
      </c>
      <c r="W340" s="199">
        <f>R340*V340</f>
        <v>377</v>
      </c>
      <c r="X340" s="718"/>
      <c r="Y340" s="737"/>
      <c r="Z340" s="199"/>
      <c r="AA340" s="199">
        <f>AH340</f>
        <v>3330</v>
      </c>
      <c r="AB340" s="199">
        <f>(R340+Z340+U340+W340)*S340+AA340</f>
        <v>7477</v>
      </c>
      <c r="AC340" s="738">
        <f>AF340</f>
        <v>0</v>
      </c>
      <c r="AD340" s="738">
        <f>AB340+AC340</f>
        <v>7477</v>
      </c>
      <c r="AE340" s="202">
        <f>AB340</f>
        <v>7477</v>
      </c>
      <c r="AF340" s="202">
        <f>AE340-AB340</f>
        <v>0</v>
      </c>
      <c r="AG340" s="738">
        <f>7100*S340</f>
        <v>7100</v>
      </c>
      <c r="AH340" s="202">
        <f>AG340-(R340*S340)</f>
        <v>3330</v>
      </c>
      <c r="AI340" s="203">
        <f>G340*S340</f>
        <v>3770</v>
      </c>
      <c r="AJ340" s="203">
        <f>G340*T340</f>
        <v>0</v>
      </c>
      <c r="AK340" s="203">
        <f>R340*S340</f>
        <v>3770</v>
      </c>
      <c r="AL340" s="203">
        <f>R340*T340</f>
        <v>0</v>
      </c>
      <c r="AM340" s="203">
        <f t="shared" si="448"/>
        <v>0</v>
      </c>
      <c r="AN340" s="203">
        <f t="shared" si="448"/>
        <v>0</v>
      </c>
      <c r="AO340" s="205">
        <f>Z340*S340</f>
        <v>0</v>
      </c>
      <c r="AP340" s="205">
        <f>Z340*T340</f>
        <v>0</v>
      </c>
      <c r="AQ340" s="205">
        <f>AA340</f>
        <v>3330</v>
      </c>
      <c r="AR340" s="205">
        <f>W340*S340</f>
        <v>377</v>
      </c>
      <c r="AS340" s="205">
        <f>W340*T340</f>
        <v>0</v>
      </c>
      <c r="AT340" s="209">
        <f t="shared" si="387"/>
        <v>3770</v>
      </c>
      <c r="AU340" s="209">
        <f t="shared" si="387"/>
        <v>0</v>
      </c>
      <c r="AV340" s="203"/>
      <c r="AW340" s="251">
        <f>R340*S340</f>
        <v>3770</v>
      </c>
      <c r="AX340" s="251"/>
      <c r="AY340" s="838">
        <f>AW340</f>
        <v>3770</v>
      </c>
      <c r="AZ340" s="838"/>
      <c r="BA340" s="840"/>
    </row>
    <row r="341" spans="2:53" s="76" customFormat="1" ht="63">
      <c r="B341" s="703">
        <f>1+B340</f>
        <v>235</v>
      </c>
      <c r="C341" s="197" t="s">
        <v>1213</v>
      </c>
      <c r="D341" s="198"/>
      <c r="E341" s="703" t="s">
        <v>1218</v>
      </c>
      <c r="F341" s="703">
        <v>3</v>
      </c>
      <c r="G341" s="199">
        <v>3770</v>
      </c>
      <c r="H341" s="736"/>
      <c r="I341" s="199"/>
      <c r="J341" s="736"/>
      <c r="K341" s="199"/>
      <c r="L341" s="199"/>
      <c r="M341" s="736"/>
      <c r="N341" s="199"/>
      <c r="O341" s="736"/>
      <c r="P341" s="199"/>
      <c r="Q341" s="199"/>
      <c r="R341" s="199">
        <f>G341+I341+K341+L341+N341+P341+Q341</f>
        <v>3770</v>
      </c>
      <c r="S341" s="199">
        <v>1</v>
      </c>
      <c r="T341" s="199"/>
      <c r="U341" s="199"/>
      <c r="V341" s="737">
        <v>0.1</v>
      </c>
      <c r="W341" s="199">
        <f>R341*V341</f>
        <v>377</v>
      </c>
      <c r="X341" s="718"/>
      <c r="Y341" s="737"/>
      <c r="Z341" s="199"/>
      <c r="AA341" s="199">
        <f>AH341</f>
        <v>3330</v>
      </c>
      <c r="AB341" s="199">
        <f>(R341+Z341+U341+W341)*S341+AA341</f>
        <v>7477</v>
      </c>
      <c r="AC341" s="738">
        <f>AF341</f>
        <v>0</v>
      </c>
      <c r="AD341" s="738">
        <f>AB341+AC341</f>
        <v>7477</v>
      </c>
      <c r="AE341" s="202">
        <f>AB341</f>
        <v>7477</v>
      </c>
      <c r="AF341" s="202">
        <f>AE341-AB341</f>
        <v>0</v>
      </c>
      <c r="AG341" s="738">
        <f>7100*S341</f>
        <v>7100</v>
      </c>
      <c r="AH341" s="202">
        <f>AG341-(R341*S341)</f>
        <v>3330</v>
      </c>
      <c r="AI341" s="203">
        <f>G341*S341</f>
        <v>3770</v>
      </c>
      <c r="AJ341" s="203">
        <f>G341*T341</f>
        <v>0</v>
      </c>
      <c r="AK341" s="203">
        <f>R341*S341</f>
        <v>3770</v>
      </c>
      <c r="AL341" s="203">
        <f>R341*T341</f>
        <v>0</v>
      </c>
      <c r="AM341" s="203">
        <f t="shared" si="448"/>
        <v>0</v>
      </c>
      <c r="AN341" s="203">
        <f t="shared" si="448"/>
        <v>0</v>
      </c>
      <c r="AO341" s="205">
        <f>Z341*S341</f>
        <v>0</v>
      </c>
      <c r="AP341" s="205">
        <f>Z341*T341</f>
        <v>0</v>
      </c>
      <c r="AQ341" s="205">
        <f>AA341</f>
        <v>3330</v>
      </c>
      <c r="AR341" s="205">
        <f>W341*S341</f>
        <v>377</v>
      </c>
      <c r="AS341" s="205">
        <f>W341*T341</f>
        <v>0</v>
      </c>
      <c r="AT341" s="209">
        <f t="shared" si="387"/>
        <v>3770</v>
      </c>
      <c r="AU341" s="209">
        <f t="shared" si="387"/>
        <v>0</v>
      </c>
      <c r="AV341" s="203"/>
      <c r="AW341" s="251">
        <f>R341*S341</f>
        <v>3770</v>
      </c>
      <c r="AX341" s="251"/>
      <c r="AY341" s="838">
        <f>AW341</f>
        <v>3770</v>
      </c>
      <c r="AZ341" s="838"/>
      <c r="BA341" s="840"/>
    </row>
    <row r="342" spans="2:53" s="76" customFormat="1" ht="63">
      <c r="B342" s="703">
        <f>1+B341</f>
        <v>236</v>
      </c>
      <c r="C342" s="197" t="s">
        <v>1213</v>
      </c>
      <c r="D342" s="198"/>
      <c r="E342" s="703" t="s">
        <v>1131</v>
      </c>
      <c r="F342" s="703">
        <v>3</v>
      </c>
      <c r="G342" s="199">
        <v>3770</v>
      </c>
      <c r="H342" s="736"/>
      <c r="I342" s="199"/>
      <c r="J342" s="736"/>
      <c r="K342" s="199"/>
      <c r="L342" s="199"/>
      <c r="M342" s="736"/>
      <c r="N342" s="199"/>
      <c r="O342" s="736"/>
      <c r="P342" s="199"/>
      <c r="Q342" s="199"/>
      <c r="R342" s="199">
        <f>G342+I342+K342+L342+N342+P342+Q342</f>
        <v>3770</v>
      </c>
      <c r="S342" s="199">
        <v>1</v>
      </c>
      <c r="T342" s="199"/>
      <c r="U342" s="199"/>
      <c r="V342" s="737">
        <v>0.1</v>
      </c>
      <c r="W342" s="199">
        <f>R342*V342</f>
        <v>377</v>
      </c>
      <c r="X342" s="718"/>
      <c r="Y342" s="737"/>
      <c r="Z342" s="199"/>
      <c r="AA342" s="199">
        <f>AH342</f>
        <v>3330</v>
      </c>
      <c r="AB342" s="199">
        <f>(R342+Z342+U342+W342)*S342+AA342</f>
        <v>7477</v>
      </c>
      <c r="AC342" s="738">
        <f>AF342</f>
        <v>0</v>
      </c>
      <c r="AD342" s="738">
        <f>AB342+AC342</f>
        <v>7477</v>
      </c>
      <c r="AE342" s="202">
        <f>AB342</f>
        <v>7477</v>
      </c>
      <c r="AF342" s="202">
        <f>AE342-AB342</f>
        <v>0</v>
      </c>
      <c r="AG342" s="738">
        <f>7100*S342</f>
        <v>7100</v>
      </c>
      <c r="AH342" s="202">
        <f>AG342-(R342*S342)</f>
        <v>3330</v>
      </c>
      <c r="AI342" s="203">
        <f>G342*S342</f>
        <v>3770</v>
      </c>
      <c r="AJ342" s="203">
        <f>G342*T342</f>
        <v>0</v>
      </c>
      <c r="AK342" s="203">
        <f>R342*S342</f>
        <v>3770</v>
      </c>
      <c r="AL342" s="203">
        <f>R342*T342</f>
        <v>0</v>
      </c>
      <c r="AM342" s="203">
        <f t="shared" si="448"/>
        <v>0</v>
      </c>
      <c r="AN342" s="203">
        <f t="shared" si="448"/>
        <v>0</v>
      </c>
      <c r="AO342" s="205">
        <f>Z342*S342</f>
        <v>0</v>
      </c>
      <c r="AP342" s="205">
        <f>Z342*T342</f>
        <v>0</v>
      </c>
      <c r="AQ342" s="205">
        <f>AA342</f>
        <v>3330</v>
      </c>
      <c r="AR342" s="205">
        <f>W342*S342</f>
        <v>377</v>
      </c>
      <c r="AS342" s="205">
        <f>W342*T342</f>
        <v>0</v>
      </c>
      <c r="AT342" s="209">
        <f t="shared" si="387"/>
        <v>3770</v>
      </c>
      <c r="AU342" s="209">
        <f t="shared" si="387"/>
        <v>0</v>
      </c>
      <c r="AV342" s="203"/>
      <c r="AW342" s="251">
        <f>R342*S342</f>
        <v>3770</v>
      </c>
      <c r="AX342" s="251"/>
      <c r="AY342" s="838">
        <f>AW342</f>
        <v>3770</v>
      </c>
      <c r="AZ342" s="838"/>
      <c r="BA342" s="840"/>
    </row>
    <row r="343" spans="2:53" s="76" customFormat="1" ht="34.5">
      <c r="B343" s="703"/>
      <c r="C343" s="180" t="s">
        <v>1736</v>
      </c>
      <c r="D343" s="207"/>
      <c r="E343" s="193"/>
      <c r="F343" s="193"/>
      <c r="G343" s="183">
        <f>SUM(G338:G342)</f>
        <v>18850</v>
      </c>
      <c r="H343" s="731"/>
      <c r="I343" s="193"/>
      <c r="J343" s="731"/>
      <c r="K343" s="193"/>
      <c r="L343" s="193"/>
      <c r="M343" s="731"/>
      <c r="N343" s="193"/>
      <c r="O343" s="731"/>
      <c r="P343" s="193"/>
      <c r="Q343" s="193"/>
      <c r="R343" s="183">
        <f>SUM(R338:R342)</f>
        <v>18850</v>
      </c>
      <c r="S343" s="183">
        <f>SUM(S338:S342)</f>
        <v>5</v>
      </c>
      <c r="T343" s="183">
        <f>SUM(T338:T342)</f>
        <v>0</v>
      </c>
      <c r="U343" s="183"/>
      <c r="V343" s="742"/>
      <c r="W343" s="183">
        <f>SUM(W338:W342)</f>
        <v>1885</v>
      </c>
      <c r="X343" s="742"/>
      <c r="Y343" s="742"/>
      <c r="Z343" s="183"/>
      <c r="AA343" s="183">
        <f t="shared" ref="AA343:AV343" si="449">SUM(AA338:AA342)</f>
        <v>16650</v>
      </c>
      <c r="AB343" s="183">
        <f t="shared" si="449"/>
        <v>37385</v>
      </c>
      <c r="AC343" s="183">
        <f t="shared" si="449"/>
        <v>0</v>
      </c>
      <c r="AD343" s="183">
        <f>SUM(AD338:AD342)</f>
        <v>37385</v>
      </c>
      <c r="AE343" s="183">
        <f t="shared" si="449"/>
        <v>37385</v>
      </c>
      <c r="AF343" s="183">
        <f t="shared" si="449"/>
        <v>0</v>
      </c>
      <c r="AG343" s="183">
        <f t="shared" si="449"/>
        <v>35500</v>
      </c>
      <c r="AH343" s="183">
        <f t="shared" si="449"/>
        <v>16650</v>
      </c>
      <c r="AI343" s="183">
        <f t="shared" si="449"/>
        <v>18850</v>
      </c>
      <c r="AJ343" s="183">
        <f t="shared" si="449"/>
        <v>0</v>
      </c>
      <c r="AK343" s="183">
        <f t="shared" si="449"/>
        <v>18850</v>
      </c>
      <c r="AL343" s="183">
        <f t="shared" si="449"/>
        <v>0</v>
      </c>
      <c r="AM343" s="183">
        <f t="shared" si="449"/>
        <v>0</v>
      </c>
      <c r="AN343" s="183">
        <f t="shared" si="449"/>
        <v>0</v>
      </c>
      <c r="AO343" s="183">
        <f t="shared" si="449"/>
        <v>0</v>
      </c>
      <c r="AP343" s="183">
        <f t="shared" si="449"/>
        <v>0</v>
      </c>
      <c r="AQ343" s="183">
        <f t="shared" si="449"/>
        <v>16650</v>
      </c>
      <c r="AR343" s="183">
        <f t="shared" si="449"/>
        <v>1885</v>
      </c>
      <c r="AS343" s="183">
        <f t="shared" si="449"/>
        <v>0</v>
      </c>
      <c r="AT343" s="183">
        <f t="shared" si="449"/>
        <v>18850</v>
      </c>
      <c r="AU343" s="183">
        <f t="shared" si="449"/>
        <v>0</v>
      </c>
      <c r="AV343" s="183">
        <f t="shared" si="449"/>
        <v>0</v>
      </c>
      <c r="AW343" s="183">
        <f>SUM(AW338:AW342)</f>
        <v>18850</v>
      </c>
      <c r="AX343" s="251"/>
      <c r="AY343" s="840"/>
      <c r="AZ343" s="838"/>
      <c r="BA343" s="840"/>
    </row>
    <row r="344" spans="2:53" s="76" customFormat="1" ht="34.5">
      <c r="B344" s="703"/>
      <c r="C344" s="180" t="s">
        <v>1278</v>
      </c>
      <c r="D344" s="207"/>
      <c r="E344" s="193"/>
      <c r="F344" s="193"/>
      <c r="G344" s="183">
        <f>G328+G336+G343</f>
        <v>61854</v>
      </c>
      <c r="H344" s="742"/>
      <c r="I344" s="183">
        <f t="shared" ref="I344:AW344" si="450">I328+I336+I343</f>
        <v>552.70000000000005</v>
      </c>
      <c r="J344" s="742"/>
      <c r="K344" s="183"/>
      <c r="L344" s="183"/>
      <c r="M344" s="742"/>
      <c r="N344" s="183"/>
      <c r="O344" s="742"/>
      <c r="P344" s="183"/>
      <c r="Q344" s="183"/>
      <c r="R344" s="183">
        <f t="shared" si="450"/>
        <v>62406.7</v>
      </c>
      <c r="S344" s="183">
        <f t="shared" si="450"/>
        <v>12</v>
      </c>
      <c r="T344" s="183">
        <f t="shared" si="450"/>
        <v>0.25</v>
      </c>
      <c r="U344" s="183"/>
      <c r="V344" s="742"/>
      <c r="W344" s="183">
        <f t="shared" si="450"/>
        <v>1885</v>
      </c>
      <c r="X344" s="742"/>
      <c r="Y344" s="742"/>
      <c r="Z344" s="183"/>
      <c r="AA344" s="183">
        <f t="shared" si="450"/>
        <v>21337.05</v>
      </c>
      <c r="AB344" s="183">
        <f t="shared" si="450"/>
        <v>89918.91</v>
      </c>
      <c r="AC344" s="183">
        <f t="shared" si="450"/>
        <v>53466.090000000004</v>
      </c>
      <c r="AD344" s="183">
        <f>AD328+AD336+AD343</f>
        <v>143385</v>
      </c>
      <c r="AE344" s="183">
        <f t="shared" si="450"/>
        <v>143385</v>
      </c>
      <c r="AF344" s="183">
        <f t="shared" si="450"/>
        <v>53466.090000000004</v>
      </c>
      <c r="AG344" s="183">
        <f>AG328+AG336+AG343</f>
        <v>86975</v>
      </c>
      <c r="AH344" s="183">
        <f t="shared" si="450"/>
        <v>21081.75</v>
      </c>
      <c r="AI344" s="183">
        <f t="shared" si="450"/>
        <v>56039</v>
      </c>
      <c r="AJ344" s="183">
        <f t="shared" si="450"/>
        <v>1453.75</v>
      </c>
      <c r="AK344" s="183">
        <f t="shared" si="450"/>
        <v>56591.7</v>
      </c>
      <c r="AL344" s="183">
        <f t="shared" si="450"/>
        <v>1453.75</v>
      </c>
      <c r="AM344" s="183">
        <f t="shared" si="450"/>
        <v>552.69999999999982</v>
      </c>
      <c r="AN344" s="183">
        <f t="shared" si="450"/>
        <v>0</v>
      </c>
      <c r="AO344" s="183">
        <f t="shared" si="450"/>
        <v>8651.41</v>
      </c>
      <c r="AP344" s="183">
        <f t="shared" si="450"/>
        <v>0</v>
      </c>
      <c r="AQ344" s="183">
        <f t="shared" si="450"/>
        <v>21337.05</v>
      </c>
      <c r="AR344" s="183">
        <f t="shared" si="450"/>
        <v>1885</v>
      </c>
      <c r="AS344" s="183">
        <f t="shared" si="450"/>
        <v>0</v>
      </c>
      <c r="AT344" s="183">
        <f t="shared" si="450"/>
        <v>56591.7</v>
      </c>
      <c r="AU344" s="183">
        <f t="shared" si="450"/>
        <v>1453.75</v>
      </c>
      <c r="AV344" s="183">
        <f t="shared" si="450"/>
        <v>0</v>
      </c>
      <c r="AW344" s="183">
        <f t="shared" si="450"/>
        <v>58045.45</v>
      </c>
      <c r="AX344" s="251"/>
      <c r="AY344" s="840"/>
      <c r="AZ344" s="838"/>
      <c r="BA344" s="840"/>
    </row>
    <row r="345" spans="2:53" s="76" customFormat="1" ht="61.5">
      <c r="B345" s="703"/>
      <c r="C345" s="191" t="s">
        <v>1180</v>
      </c>
      <c r="D345" s="192"/>
      <c r="E345" s="193"/>
      <c r="F345" s="193"/>
      <c r="G345" s="193"/>
      <c r="H345" s="731"/>
      <c r="I345" s="193"/>
      <c r="J345" s="731"/>
      <c r="K345" s="193"/>
      <c r="L345" s="193"/>
      <c r="M345" s="731"/>
      <c r="N345" s="193"/>
      <c r="O345" s="731"/>
      <c r="P345" s="193"/>
      <c r="Q345" s="193"/>
      <c r="R345" s="193"/>
      <c r="S345" s="193"/>
      <c r="T345" s="193"/>
      <c r="U345" s="193"/>
      <c r="V345" s="732"/>
      <c r="W345" s="193"/>
      <c r="X345" s="732"/>
      <c r="Y345" s="732"/>
      <c r="Z345" s="193"/>
      <c r="AA345" s="193"/>
      <c r="AB345" s="193"/>
      <c r="AC345" s="195"/>
      <c r="AD345" s="195"/>
      <c r="AE345" s="195"/>
      <c r="AF345" s="195"/>
      <c r="AG345" s="195"/>
      <c r="AH345" s="195"/>
      <c r="AI345" s="203"/>
      <c r="AJ345" s="203"/>
      <c r="AK345" s="203"/>
      <c r="AL345" s="203"/>
      <c r="AM345" s="203"/>
      <c r="AN345" s="203"/>
      <c r="AO345" s="205"/>
      <c r="AP345" s="205"/>
      <c r="AQ345" s="205"/>
      <c r="AR345" s="205"/>
      <c r="AS345" s="205"/>
      <c r="AT345" s="209"/>
      <c r="AU345" s="209"/>
      <c r="AV345" s="203"/>
      <c r="AW345" s="251"/>
      <c r="AX345" s="251"/>
      <c r="AY345" s="840"/>
      <c r="AZ345" s="838"/>
      <c r="BA345" s="840"/>
    </row>
    <row r="346" spans="2:53" s="76" customFormat="1" ht="34.5">
      <c r="B346" s="703"/>
      <c r="C346" s="220" t="s">
        <v>1581</v>
      </c>
      <c r="D346" s="192"/>
      <c r="E346" s="193"/>
      <c r="F346" s="193"/>
      <c r="G346" s="193"/>
      <c r="H346" s="731"/>
      <c r="I346" s="193"/>
      <c r="J346" s="731"/>
      <c r="K346" s="193"/>
      <c r="L346" s="193"/>
      <c r="M346" s="731"/>
      <c r="N346" s="193"/>
      <c r="O346" s="731"/>
      <c r="P346" s="193"/>
      <c r="Q346" s="193"/>
      <c r="R346" s="193"/>
      <c r="S346" s="193"/>
      <c r="T346" s="193"/>
      <c r="U346" s="193"/>
      <c r="V346" s="732"/>
      <c r="W346" s="193"/>
      <c r="X346" s="732"/>
      <c r="Y346" s="732"/>
      <c r="Z346" s="193"/>
      <c r="AA346" s="193"/>
      <c r="AB346" s="193"/>
      <c r="AC346" s="195"/>
      <c r="AD346" s="195"/>
      <c r="AE346" s="195"/>
      <c r="AF346" s="195"/>
      <c r="AG346" s="195"/>
      <c r="AH346" s="195"/>
      <c r="AI346" s="203"/>
      <c r="AJ346" s="203"/>
      <c r="AK346" s="203"/>
      <c r="AL346" s="203"/>
      <c r="AM346" s="203"/>
      <c r="AN346" s="203"/>
      <c r="AO346" s="205"/>
      <c r="AP346" s="205"/>
      <c r="AQ346" s="205"/>
      <c r="AR346" s="205"/>
      <c r="AS346" s="205"/>
      <c r="AT346" s="209"/>
      <c r="AU346" s="209"/>
      <c r="AV346" s="203"/>
      <c r="AW346" s="251"/>
      <c r="AX346" s="251"/>
      <c r="AY346" s="840"/>
      <c r="AZ346" s="838"/>
      <c r="BA346" s="840"/>
    </row>
    <row r="347" spans="2:53" s="76" customFormat="1" ht="63">
      <c r="B347" s="703">
        <f>B342+1</f>
        <v>237</v>
      </c>
      <c r="C347" s="197" t="s">
        <v>1181</v>
      </c>
      <c r="D347" s="198" t="s">
        <v>1079</v>
      </c>
      <c r="E347" s="703" t="s">
        <v>1182</v>
      </c>
      <c r="F347" s="703">
        <v>9</v>
      </c>
      <c r="G347" s="199">
        <v>5527</v>
      </c>
      <c r="H347" s="736"/>
      <c r="I347" s="199"/>
      <c r="J347" s="736"/>
      <c r="K347" s="199"/>
      <c r="L347" s="199"/>
      <c r="M347" s="736"/>
      <c r="N347" s="199"/>
      <c r="O347" s="736"/>
      <c r="P347" s="199"/>
      <c r="Q347" s="206"/>
      <c r="R347" s="199">
        <f>G347+I347+K347+L347+N347+P347+Q347</f>
        <v>5527</v>
      </c>
      <c r="S347" s="199">
        <v>1</v>
      </c>
      <c r="T347" s="199"/>
      <c r="U347" s="206"/>
      <c r="V347" s="741"/>
      <c r="W347" s="206"/>
      <c r="X347" s="718">
        <v>32</v>
      </c>
      <c r="Y347" s="737">
        <v>0.3</v>
      </c>
      <c r="Z347" s="199">
        <f>R347*Y347</f>
        <v>1658.1</v>
      </c>
      <c r="AA347" s="199"/>
      <c r="AB347" s="199">
        <f>(R347+Z347)*S347+AA347</f>
        <v>7185.1</v>
      </c>
      <c r="AC347" s="738">
        <f>AF347</f>
        <v>6314.9</v>
      </c>
      <c r="AD347" s="738">
        <f>AB347+AC347</f>
        <v>13500</v>
      </c>
      <c r="AE347" s="202">
        <f>13500*S347</f>
        <v>13500</v>
      </c>
      <c r="AF347" s="202">
        <f>AE347-AB347</f>
        <v>6314.9</v>
      </c>
      <c r="AG347" s="738">
        <f>7100*S347</f>
        <v>7100</v>
      </c>
      <c r="AH347" s="202">
        <f>AG347-(R347*S347)-Z347</f>
        <v>-85.099999999999909</v>
      </c>
      <c r="AI347" s="203">
        <f>G347*S347</f>
        <v>5527</v>
      </c>
      <c r="AJ347" s="203">
        <f>G347*T347</f>
        <v>0</v>
      </c>
      <c r="AK347" s="203">
        <f>R347*S347</f>
        <v>5527</v>
      </c>
      <c r="AL347" s="203">
        <f>R347*T347</f>
        <v>0</v>
      </c>
      <c r="AM347" s="203">
        <f>AK347-AI347</f>
        <v>0</v>
      </c>
      <c r="AN347" s="203">
        <f>AL347-AJ347</f>
        <v>0</v>
      </c>
      <c r="AO347" s="205">
        <f>Z347*S347</f>
        <v>1658.1</v>
      </c>
      <c r="AP347" s="205">
        <f>Z347*T347</f>
        <v>0</v>
      </c>
      <c r="AQ347" s="205">
        <f>AA347</f>
        <v>0</v>
      </c>
      <c r="AR347" s="205">
        <f>W347*S347</f>
        <v>0</v>
      </c>
      <c r="AS347" s="205">
        <f>W347*T347</f>
        <v>0</v>
      </c>
      <c r="AT347" s="209">
        <f t="shared" si="387"/>
        <v>5527</v>
      </c>
      <c r="AU347" s="209">
        <f t="shared" si="387"/>
        <v>0</v>
      </c>
      <c r="AV347" s="203"/>
      <c r="AW347" s="251">
        <f>R347*S347</f>
        <v>5527</v>
      </c>
      <c r="AX347" s="251"/>
      <c r="AY347" s="838">
        <f>AW347</f>
        <v>5527</v>
      </c>
      <c r="AZ347" s="838"/>
      <c r="BA347" s="840"/>
    </row>
    <row r="348" spans="2:53" s="76" customFormat="1" ht="34.5">
      <c r="B348" s="703"/>
      <c r="C348" s="180" t="s">
        <v>1736</v>
      </c>
      <c r="D348" s="207"/>
      <c r="E348" s="193"/>
      <c r="F348" s="193"/>
      <c r="G348" s="183">
        <f>SUM(G347)</f>
        <v>5527</v>
      </c>
      <c r="H348" s="731"/>
      <c r="I348" s="193"/>
      <c r="J348" s="731"/>
      <c r="K348" s="193"/>
      <c r="L348" s="193"/>
      <c r="M348" s="731"/>
      <c r="N348" s="193"/>
      <c r="O348" s="731"/>
      <c r="P348" s="193"/>
      <c r="Q348" s="193"/>
      <c r="R348" s="183">
        <f>SUM(R347:R347)</f>
        <v>5527</v>
      </c>
      <c r="S348" s="183">
        <f>SUM(S347:S347)</f>
        <v>1</v>
      </c>
      <c r="T348" s="183">
        <f>SUM(T347:T347)</f>
        <v>0</v>
      </c>
      <c r="U348" s="183"/>
      <c r="V348" s="742"/>
      <c r="W348" s="183"/>
      <c r="X348" s="742"/>
      <c r="Y348" s="742"/>
      <c r="Z348" s="183">
        <f t="shared" ref="Z348:AW348" si="451">SUM(Z347:Z347)</f>
        <v>1658.1</v>
      </c>
      <c r="AA348" s="183">
        <f t="shared" si="451"/>
        <v>0</v>
      </c>
      <c r="AB348" s="183">
        <f t="shared" si="451"/>
        <v>7185.1</v>
      </c>
      <c r="AC348" s="183">
        <f t="shared" si="451"/>
        <v>6314.9</v>
      </c>
      <c r="AD348" s="183">
        <f>SUM(AD347:AD347)</f>
        <v>13500</v>
      </c>
      <c r="AE348" s="183">
        <f t="shared" si="451"/>
        <v>13500</v>
      </c>
      <c r="AF348" s="183">
        <f t="shared" si="451"/>
        <v>6314.9</v>
      </c>
      <c r="AG348" s="183">
        <f t="shared" si="451"/>
        <v>7100</v>
      </c>
      <c r="AH348" s="183">
        <f t="shared" si="451"/>
        <v>-85.099999999999909</v>
      </c>
      <c r="AI348" s="183">
        <f t="shared" si="451"/>
        <v>5527</v>
      </c>
      <c r="AJ348" s="183">
        <f t="shared" si="451"/>
        <v>0</v>
      </c>
      <c r="AK348" s="183">
        <f t="shared" si="451"/>
        <v>5527</v>
      </c>
      <c r="AL348" s="183">
        <f t="shared" si="451"/>
        <v>0</v>
      </c>
      <c r="AM348" s="183">
        <f t="shared" si="451"/>
        <v>0</v>
      </c>
      <c r="AN348" s="183">
        <f t="shared" si="451"/>
        <v>0</v>
      </c>
      <c r="AO348" s="183">
        <f t="shared" si="451"/>
        <v>1658.1</v>
      </c>
      <c r="AP348" s="183">
        <f t="shared" si="451"/>
        <v>0</v>
      </c>
      <c r="AQ348" s="183">
        <f t="shared" si="451"/>
        <v>0</v>
      </c>
      <c r="AR348" s="183">
        <f t="shared" si="451"/>
        <v>0</v>
      </c>
      <c r="AS348" s="183">
        <f t="shared" si="451"/>
        <v>0</v>
      </c>
      <c r="AT348" s="183">
        <f t="shared" si="451"/>
        <v>5527</v>
      </c>
      <c r="AU348" s="183">
        <f t="shared" si="451"/>
        <v>0</v>
      </c>
      <c r="AV348" s="183">
        <f t="shared" si="451"/>
        <v>0</v>
      </c>
      <c r="AW348" s="183">
        <f t="shared" si="451"/>
        <v>5527</v>
      </c>
      <c r="AX348" s="251"/>
      <c r="AY348" s="840"/>
      <c r="AZ348" s="838"/>
      <c r="BA348" s="840"/>
    </row>
    <row r="349" spans="2:53" s="76" customFormat="1" ht="34.5">
      <c r="B349" s="703"/>
      <c r="C349" s="180" t="s">
        <v>1278</v>
      </c>
      <c r="D349" s="207"/>
      <c r="E349" s="193"/>
      <c r="F349" s="193"/>
      <c r="G349" s="183">
        <f>G344+G348</f>
        <v>67381</v>
      </c>
      <c r="H349" s="742"/>
      <c r="I349" s="183">
        <f>I344+I348</f>
        <v>552.70000000000005</v>
      </c>
      <c r="J349" s="742"/>
      <c r="K349" s="183"/>
      <c r="L349" s="183"/>
      <c r="M349" s="742"/>
      <c r="N349" s="183"/>
      <c r="O349" s="742"/>
      <c r="P349" s="183"/>
      <c r="Q349" s="183"/>
      <c r="R349" s="183">
        <f t="shared" ref="R349:AA349" si="452">R344+R348</f>
        <v>67933.7</v>
      </c>
      <c r="S349" s="183">
        <f t="shared" si="452"/>
        <v>13</v>
      </c>
      <c r="T349" s="183">
        <f t="shared" si="452"/>
        <v>0.25</v>
      </c>
      <c r="U349" s="183"/>
      <c r="V349" s="742"/>
      <c r="W349" s="183">
        <f t="shared" si="452"/>
        <v>1885</v>
      </c>
      <c r="X349" s="742"/>
      <c r="Y349" s="742"/>
      <c r="Z349" s="183">
        <f t="shared" si="452"/>
        <v>1658.1</v>
      </c>
      <c r="AA349" s="183">
        <f t="shared" si="452"/>
        <v>21337.05</v>
      </c>
      <c r="AB349" s="183">
        <f>AB344+AB348</f>
        <v>97104.010000000009</v>
      </c>
      <c r="AC349" s="183">
        <f t="shared" ref="AC349:AW349" si="453">AC344+AC348</f>
        <v>59780.990000000005</v>
      </c>
      <c r="AD349" s="183">
        <f>AD344+AD348</f>
        <v>156885</v>
      </c>
      <c r="AE349" s="183">
        <f t="shared" si="453"/>
        <v>156885</v>
      </c>
      <c r="AF349" s="183">
        <f t="shared" si="453"/>
        <v>59780.990000000005</v>
      </c>
      <c r="AG349" s="183">
        <f>AG344+AG348</f>
        <v>94075</v>
      </c>
      <c r="AH349" s="183">
        <f t="shared" si="453"/>
        <v>20996.65</v>
      </c>
      <c r="AI349" s="183">
        <f t="shared" si="453"/>
        <v>61566</v>
      </c>
      <c r="AJ349" s="183">
        <f t="shared" si="453"/>
        <v>1453.75</v>
      </c>
      <c r="AK349" s="183">
        <f t="shared" si="453"/>
        <v>62118.7</v>
      </c>
      <c r="AL349" s="183">
        <f t="shared" si="453"/>
        <v>1453.75</v>
      </c>
      <c r="AM349" s="183">
        <f t="shared" si="453"/>
        <v>552.69999999999982</v>
      </c>
      <c r="AN349" s="183">
        <f t="shared" si="453"/>
        <v>0</v>
      </c>
      <c r="AO349" s="183">
        <f t="shared" si="453"/>
        <v>10309.51</v>
      </c>
      <c r="AP349" s="183">
        <f t="shared" si="453"/>
        <v>0</v>
      </c>
      <c r="AQ349" s="183">
        <f t="shared" si="453"/>
        <v>21337.05</v>
      </c>
      <c r="AR349" s="183">
        <f t="shared" si="453"/>
        <v>1885</v>
      </c>
      <c r="AS349" s="183">
        <f t="shared" si="453"/>
        <v>0</v>
      </c>
      <c r="AT349" s="183">
        <f t="shared" si="453"/>
        <v>62118.7</v>
      </c>
      <c r="AU349" s="183">
        <f t="shared" si="453"/>
        <v>1453.75</v>
      </c>
      <c r="AV349" s="183">
        <f t="shared" si="453"/>
        <v>0</v>
      </c>
      <c r="AW349" s="183">
        <f t="shared" si="453"/>
        <v>63572.45</v>
      </c>
      <c r="AX349" s="251"/>
      <c r="AY349" s="840"/>
      <c r="AZ349" s="838"/>
      <c r="BA349" s="840"/>
    </row>
    <row r="350" spans="2:53" s="76" customFormat="1" ht="61.5">
      <c r="B350" s="703"/>
      <c r="C350" s="191" t="s">
        <v>1045</v>
      </c>
      <c r="D350" s="192"/>
      <c r="E350" s="193"/>
      <c r="F350" s="193"/>
      <c r="G350" s="193"/>
      <c r="H350" s="731"/>
      <c r="I350" s="193"/>
      <c r="J350" s="731"/>
      <c r="K350" s="193"/>
      <c r="L350" s="193"/>
      <c r="M350" s="731"/>
      <c r="N350" s="193"/>
      <c r="O350" s="731"/>
      <c r="P350" s="193"/>
      <c r="Q350" s="193"/>
      <c r="R350" s="193"/>
      <c r="S350" s="193"/>
      <c r="T350" s="193"/>
      <c r="U350" s="193"/>
      <c r="V350" s="732"/>
      <c r="W350" s="193"/>
      <c r="X350" s="732"/>
      <c r="Y350" s="732"/>
      <c r="Z350" s="193"/>
      <c r="AA350" s="193"/>
      <c r="AB350" s="193"/>
      <c r="AC350" s="195"/>
      <c r="AD350" s="195"/>
      <c r="AE350" s="195"/>
      <c r="AF350" s="195"/>
      <c r="AG350" s="195"/>
      <c r="AH350" s="195"/>
      <c r="AI350" s="203"/>
      <c r="AJ350" s="203"/>
      <c r="AK350" s="203"/>
      <c r="AL350" s="203"/>
      <c r="AM350" s="203"/>
      <c r="AN350" s="203"/>
      <c r="AO350" s="205"/>
      <c r="AP350" s="205"/>
      <c r="AQ350" s="205"/>
      <c r="AR350" s="205"/>
      <c r="AS350" s="205"/>
      <c r="AT350" s="209"/>
      <c r="AU350" s="209"/>
      <c r="AV350" s="203"/>
      <c r="AW350" s="251"/>
      <c r="AX350" s="251"/>
      <c r="AY350" s="840"/>
      <c r="AZ350" s="838"/>
      <c r="BA350" s="840"/>
    </row>
    <row r="351" spans="2:53" s="76" customFormat="1" ht="61.5">
      <c r="B351" s="703"/>
      <c r="C351" s="191" t="s">
        <v>1046</v>
      </c>
      <c r="D351" s="192"/>
      <c r="E351" s="193"/>
      <c r="F351" s="193"/>
      <c r="G351" s="193"/>
      <c r="H351" s="731"/>
      <c r="I351" s="193"/>
      <c r="J351" s="731"/>
      <c r="K351" s="193"/>
      <c r="L351" s="193"/>
      <c r="M351" s="731"/>
      <c r="N351" s="193"/>
      <c r="O351" s="731"/>
      <c r="P351" s="193"/>
      <c r="Q351" s="193"/>
      <c r="R351" s="193"/>
      <c r="S351" s="193"/>
      <c r="T351" s="193"/>
      <c r="U351" s="193"/>
      <c r="V351" s="732"/>
      <c r="W351" s="193"/>
      <c r="X351" s="732"/>
      <c r="Y351" s="732"/>
      <c r="Z351" s="193"/>
      <c r="AA351" s="193"/>
      <c r="AB351" s="193"/>
      <c r="AC351" s="195"/>
      <c r="AD351" s="195"/>
      <c r="AE351" s="195"/>
      <c r="AF351" s="195"/>
      <c r="AG351" s="195"/>
      <c r="AH351" s="195"/>
      <c r="AI351" s="203"/>
      <c r="AJ351" s="203"/>
      <c r="AK351" s="203"/>
      <c r="AL351" s="203"/>
      <c r="AM351" s="203"/>
      <c r="AN351" s="203"/>
      <c r="AO351" s="205"/>
      <c r="AP351" s="205"/>
      <c r="AQ351" s="205"/>
      <c r="AR351" s="205"/>
      <c r="AS351" s="205"/>
      <c r="AT351" s="209"/>
      <c r="AU351" s="209"/>
      <c r="AV351" s="203"/>
      <c r="AW351" s="251"/>
      <c r="AX351" s="251"/>
      <c r="AY351" s="840"/>
      <c r="AZ351" s="838"/>
      <c r="BA351" s="840"/>
    </row>
    <row r="352" spans="2:53" s="76" customFormat="1" ht="34.5">
      <c r="B352" s="703"/>
      <c r="C352" s="220" t="s">
        <v>1382</v>
      </c>
      <c r="D352" s="217"/>
      <c r="E352" s="218"/>
      <c r="F352" s="218"/>
      <c r="G352" s="218"/>
      <c r="H352" s="745"/>
      <c r="I352" s="218"/>
      <c r="J352" s="745"/>
      <c r="K352" s="218"/>
      <c r="L352" s="218"/>
      <c r="M352" s="745"/>
      <c r="N352" s="218"/>
      <c r="O352" s="745"/>
      <c r="P352" s="218"/>
      <c r="Q352" s="218"/>
      <c r="R352" s="218"/>
      <c r="S352" s="218"/>
      <c r="T352" s="218"/>
      <c r="U352" s="218"/>
      <c r="V352" s="746"/>
      <c r="W352" s="218"/>
      <c r="X352" s="746"/>
      <c r="Y352" s="746"/>
      <c r="Z352" s="218"/>
      <c r="AA352" s="218"/>
      <c r="AB352" s="218"/>
      <c r="AC352" s="219"/>
      <c r="AD352" s="219"/>
      <c r="AE352" s="219"/>
      <c r="AF352" s="219"/>
      <c r="AG352" s="219"/>
      <c r="AH352" s="219"/>
      <c r="AI352" s="203"/>
      <c r="AJ352" s="203"/>
      <c r="AK352" s="203"/>
      <c r="AL352" s="203"/>
      <c r="AM352" s="203"/>
      <c r="AN352" s="203"/>
      <c r="AO352" s="205"/>
      <c r="AP352" s="205"/>
      <c r="AQ352" s="205"/>
      <c r="AR352" s="205"/>
      <c r="AS352" s="205"/>
      <c r="AT352" s="209"/>
      <c r="AU352" s="209"/>
      <c r="AV352" s="203"/>
      <c r="AW352" s="251"/>
      <c r="AX352" s="251"/>
      <c r="AY352" s="840"/>
      <c r="AZ352" s="838"/>
      <c r="BA352" s="841"/>
    </row>
    <row r="353" spans="2:53" s="76" customFormat="1" ht="87.75">
      <c r="B353" s="703">
        <f>B347+1</f>
        <v>238</v>
      </c>
      <c r="C353" s="197" t="s">
        <v>1047</v>
      </c>
      <c r="D353" s="198" t="s">
        <v>1048</v>
      </c>
      <c r="E353" s="703" t="s">
        <v>1049</v>
      </c>
      <c r="F353" s="703">
        <v>13</v>
      </c>
      <c r="G353" s="199">
        <v>7253</v>
      </c>
      <c r="H353" s="737">
        <v>0.1</v>
      </c>
      <c r="I353" s="703">
        <f>G353*H353</f>
        <v>725.30000000000007</v>
      </c>
      <c r="J353" s="718"/>
      <c r="K353" s="703"/>
      <c r="L353" s="703"/>
      <c r="M353" s="718"/>
      <c r="N353" s="193"/>
      <c r="O353" s="737">
        <v>0.15</v>
      </c>
      <c r="P353" s="204">
        <f>(G353+I353)*O353</f>
        <v>1196.7449999999999</v>
      </c>
      <c r="Q353" s="201"/>
      <c r="R353" s="199">
        <f>G353+I353+K353+L353+N353+P353+Q353</f>
        <v>9175.0450000000001</v>
      </c>
      <c r="S353" s="199">
        <v>1</v>
      </c>
      <c r="T353" s="703"/>
      <c r="U353" s="703"/>
      <c r="V353" s="718"/>
      <c r="W353" s="703"/>
      <c r="X353" s="718">
        <v>36</v>
      </c>
      <c r="Y353" s="737">
        <v>0.3</v>
      </c>
      <c r="Z353" s="199">
        <f>R353*Y353</f>
        <v>2752.5135</v>
      </c>
      <c r="AA353" s="199"/>
      <c r="AB353" s="199">
        <f>(R353+Z353)*S353</f>
        <v>11927.558499999999</v>
      </c>
      <c r="AC353" s="738">
        <f>AF353</f>
        <v>8072.4415000000008</v>
      </c>
      <c r="AD353" s="738">
        <f>AB353+AC353</f>
        <v>20000</v>
      </c>
      <c r="AE353" s="202">
        <f>20000*S353</f>
        <v>20000</v>
      </c>
      <c r="AF353" s="202">
        <f>AE353-AB353</f>
        <v>8072.4415000000008</v>
      </c>
      <c r="AG353" s="738">
        <f>7100*S353</f>
        <v>7100</v>
      </c>
      <c r="AH353" s="202">
        <f>AB353-AG353</f>
        <v>4827.5584999999992</v>
      </c>
      <c r="AI353" s="203">
        <f>G353*S353</f>
        <v>7253</v>
      </c>
      <c r="AJ353" s="203">
        <f>G353*T353</f>
        <v>0</v>
      </c>
      <c r="AK353" s="203">
        <f>R353*S353</f>
        <v>9175.0450000000001</v>
      </c>
      <c r="AL353" s="203">
        <f>R353*T353</f>
        <v>0</v>
      </c>
      <c r="AM353" s="203">
        <f>AK353-AI353</f>
        <v>1922.0450000000001</v>
      </c>
      <c r="AN353" s="203">
        <f>AL353-AJ353</f>
        <v>0</v>
      </c>
      <c r="AO353" s="205">
        <f>Z353*S353</f>
        <v>2752.5135</v>
      </c>
      <c r="AP353" s="205">
        <f>Z353*T353</f>
        <v>0</v>
      </c>
      <c r="AQ353" s="205">
        <f>AA353</f>
        <v>0</v>
      </c>
      <c r="AR353" s="205">
        <f>W353*S353</f>
        <v>0</v>
      </c>
      <c r="AS353" s="205">
        <f>W353*T353</f>
        <v>0</v>
      </c>
      <c r="AT353" s="209">
        <f t="shared" ref="AT353:AU409" si="454">AK353</f>
        <v>9175.0450000000001</v>
      </c>
      <c r="AU353" s="209">
        <f t="shared" si="454"/>
        <v>0</v>
      </c>
      <c r="AV353" s="203"/>
      <c r="AW353" s="251">
        <f>R353*S353</f>
        <v>9175.0450000000001</v>
      </c>
      <c r="AX353" s="251"/>
      <c r="AY353" s="838">
        <f t="shared" ref="AY353:AY362" si="455">AW353</f>
        <v>9175.0450000000001</v>
      </c>
      <c r="AZ353" s="838"/>
      <c r="BA353" s="840"/>
    </row>
    <row r="354" spans="2:53" s="76" customFormat="1" ht="87.75">
      <c r="B354" s="703">
        <f>1+B353</f>
        <v>239</v>
      </c>
      <c r="C354" s="197" t="s">
        <v>203</v>
      </c>
      <c r="D354" s="198" t="s">
        <v>1788</v>
      </c>
      <c r="E354" s="703" t="s">
        <v>1050</v>
      </c>
      <c r="F354" s="703">
        <v>13</v>
      </c>
      <c r="G354" s="199">
        <v>7253</v>
      </c>
      <c r="H354" s="718"/>
      <c r="I354" s="703"/>
      <c r="J354" s="718"/>
      <c r="K354" s="703"/>
      <c r="L354" s="703"/>
      <c r="M354" s="718"/>
      <c r="N354" s="193"/>
      <c r="O354" s="737">
        <v>0.15</v>
      </c>
      <c r="P354" s="204">
        <f>(G354+I354)*O354</f>
        <v>1087.95</v>
      </c>
      <c r="Q354" s="201"/>
      <c r="R354" s="199">
        <f>G354+I354+K354+L354+N354+P354+Q354</f>
        <v>8340.9500000000007</v>
      </c>
      <c r="S354" s="199">
        <v>1</v>
      </c>
      <c r="T354" s="703"/>
      <c r="U354" s="703"/>
      <c r="V354" s="718"/>
      <c r="W354" s="703"/>
      <c r="X354" s="718">
        <v>31</v>
      </c>
      <c r="Y354" s="737">
        <v>0.3</v>
      </c>
      <c r="Z354" s="199">
        <f>R354*Y354</f>
        <v>2502.2850000000003</v>
      </c>
      <c r="AA354" s="199"/>
      <c r="AB354" s="199">
        <f>(R354+Z354)*S354</f>
        <v>10843.235000000001</v>
      </c>
      <c r="AC354" s="738">
        <f>AF354</f>
        <v>9156.7649999999994</v>
      </c>
      <c r="AD354" s="738">
        <f>AB354+AC354</f>
        <v>20000</v>
      </c>
      <c r="AE354" s="202">
        <f>20000*S354</f>
        <v>20000</v>
      </c>
      <c r="AF354" s="202">
        <f>AE354-AB354</f>
        <v>9156.7649999999994</v>
      </c>
      <c r="AG354" s="738">
        <f>7100*S354</f>
        <v>7100</v>
      </c>
      <c r="AH354" s="202">
        <f>AB354-AG354</f>
        <v>3743.2350000000006</v>
      </c>
      <c r="AI354" s="203">
        <f>G354*S354</f>
        <v>7253</v>
      </c>
      <c r="AJ354" s="203">
        <f>G354*T354</f>
        <v>0</v>
      </c>
      <c r="AK354" s="203">
        <f>R354*S354</f>
        <v>8340.9500000000007</v>
      </c>
      <c r="AL354" s="203">
        <f>R354*T354</f>
        <v>0</v>
      </c>
      <c r="AM354" s="203">
        <f>AK354-AI354</f>
        <v>1087.9500000000007</v>
      </c>
      <c r="AN354" s="203">
        <f>AL354-AJ354</f>
        <v>0</v>
      </c>
      <c r="AO354" s="205">
        <f>Z354*S354</f>
        <v>2502.2850000000003</v>
      </c>
      <c r="AP354" s="205">
        <f>Z354*T354</f>
        <v>0</v>
      </c>
      <c r="AQ354" s="205">
        <f>AA354</f>
        <v>0</v>
      </c>
      <c r="AR354" s="205">
        <f>W354*S354</f>
        <v>0</v>
      </c>
      <c r="AS354" s="205">
        <f>W354*T354</f>
        <v>0</v>
      </c>
      <c r="AT354" s="209">
        <f t="shared" si="454"/>
        <v>8340.9500000000007</v>
      </c>
      <c r="AU354" s="209">
        <f t="shared" si="454"/>
        <v>0</v>
      </c>
      <c r="AV354" s="203"/>
      <c r="AW354" s="251">
        <f>R354*S354</f>
        <v>8340.9500000000007</v>
      </c>
      <c r="AX354" s="251"/>
      <c r="AY354" s="838">
        <f t="shared" si="455"/>
        <v>8340.9500000000007</v>
      </c>
      <c r="AZ354" s="838"/>
      <c r="BA354" s="840"/>
    </row>
    <row r="355" spans="2:53" s="76" customFormat="1" ht="34.5">
      <c r="B355" s="703"/>
      <c r="C355" s="180" t="s">
        <v>1736</v>
      </c>
      <c r="D355" s="207"/>
      <c r="E355" s="193"/>
      <c r="F355" s="193"/>
      <c r="G355" s="183">
        <f>SUM(G353:G354)</f>
        <v>14506</v>
      </c>
      <c r="H355" s="752"/>
      <c r="I355" s="183">
        <f>SUM(I353:I354)</f>
        <v>725.30000000000007</v>
      </c>
      <c r="J355" s="731"/>
      <c r="K355" s="193"/>
      <c r="L355" s="193"/>
      <c r="M355" s="731"/>
      <c r="N355" s="193"/>
      <c r="O355" s="731"/>
      <c r="P355" s="183">
        <f>SUM(P353:P354)</f>
        <v>2284.6949999999997</v>
      </c>
      <c r="Q355" s="193"/>
      <c r="R355" s="183">
        <f>SUM(R353:R354)</f>
        <v>17515.995000000003</v>
      </c>
      <c r="S355" s="183">
        <f>SUM(S353:S354)</f>
        <v>2</v>
      </c>
      <c r="T355" s="183">
        <f>SUM(T353:T354)</f>
        <v>0</v>
      </c>
      <c r="U355" s="183"/>
      <c r="V355" s="742"/>
      <c r="W355" s="183"/>
      <c r="X355" s="742"/>
      <c r="Y355" s="742"/>
      <c r="Z355" s="183">
        <f>SUM(Z353:Z354)</f>
        <v>5254.7985000000008</v>
      </c>
      <c r="AA355" s="183">
        <f t="shared" ref="AA355:AV355" si="456">SUM(AA353:AA354)</f>
        <v>0</v>
      </c>
      <c r="AB355" s="183">
        <f t="shared" si="456"/>
        <v>22770.7935</v>
      </c>
      <c r="AC355" s="183">
        <f t="shared" si="456"/>
        <v>17229.2065</v>
      </c>
      <c r="AD355" s="183">
        <f>SUM(AD353:AD354)</f>
        <v>40000</v>
      </c>
      <c r="AE355" s="183">
        <f t="shared" si="456"/>
        <v>40000</v>
      </c>
      <c r="AF355" s="183">
        <f t="shared" si="456"/>
        <v>17229.2065</v>
      </c>
      <c r="AG355" s="183">
        <f t="shared" si="456"/>
        <v>14200</v>
      </c>
      <c r="AH355" s="183">
        <f t="shared" si="456"/>
        <v>8570.7934999999998</v>
      </c>
      <c r="AI355" s="183">
        <f t="shared" si="456"/>
        <v>14506</v>
      </c>
      <c r="AJ355" s="183">
        <f t="shared" si="456"/>
        <v>0</v>
      </c>
      <c r="AK355" s="183">
        <f t="shared" si="456"/>
        <v>17515.995000000003</v>
      </c>
      <c r="AL355" s="183">
        <f t="shared" si="456"/>
        <v>0</v>
      </c>
      <c r="AM355" s="183">
        <f t="shared" si="456"/>
        <v>3009.9950000000008</v>
      </c>
      <c r="AN355" s="183">
        <f t="shared" si="456"/>
        <v>0</v>
      </c>
      <c r="AO355" s="183">
        <f t="shared" si="456"/>
        <v>5254.7985000000008</v>
      </c>
      <c r="AP355" s="183">
        <f t="shared" si="456"/>
        <v>0</v>
      </c>
      <c r="AQ355" s="183">
        <f t="shared" si="456"/>
        <v>0</v>
      </c>
      <c r="AR355" s="183">
        <f t="shared" si="456"/>
        <v>0</v>
      </c>
      <c r="AS355" s="183">
        <f t="shared" si="456"/>
        <v>0</v>
      </c>
      <c r="AT355" s="183">
        <f t="shared" si="456"/>
        <v>17515.995000000003</v>
      </c>
      <c r="AU355" s="183">
        <f t="shared" si="456"/>
        <v>0</v>
      </c>
      <c r="AV355" s="183">
        <f t="shared" si="456"/>
        <v>0</v>
      </c>
      <c r="AW355" s="183">
        <f>SUM(AW353:AW354)</f>
        <v>17515.995000000003</v>
      </c>
      <c r="AX355" s="251"/>
      <c r="AY355" s="838"/>
      <c r="AZ355" s="838"/>
      <c r="BA355" s="840"/>
    </row>
    <row r="356" spans="2:53" s="76" customFormat="1" ht="34.5">
      <c r="B356" s="703"/>
      <c r="C356" s="220" t="s">
        <v>1581</v>
      </c>
      <c r="D356" s="192"/>
      <c r="E356" s="193"/>
      <c r="F356" s="193"/>
      <c r="G356" s="193"/>
      <c r="H356" s="731"/>
      <c r="I356" s="193"/>
      <c r="J356" s="731"/>
      <c r="K356" s="193"/>
      <c r="L356" s="193"/>
      <c r="M356" s="731"/>
      <c r="N356" s="193"/>
      <c r="O356" s="731"/>
      <c r="P356" s="193"/>
      <c r="Q356" s="193"/>
      <c r="R356" s="193"/>
      <c r="S356" s="193"/>
      <c r="T356" s="193"/>
      <c r="U356" s="193"/>
      <c r="V356" s="732"/>
      <c r="W356" s="193"/>
      <c r="X356" s="732"/>
      <c r="Y356" s="732"/>
      <c r="Z356" s="193"/>
      <c r="AA356" s="193"/>
      <c r="AB356" s="193"/>
      <c r="AC356" s="195"/>
      <c r="AD356" s="195"/>
      <c r="AE356" s="195"/>
      <c r="AF356" s="195"/>
      <c r="AG356" s="195"/>
      <c r="AH356" s="195"/>
      <c r="AI356" s="203"/>
      <c r="AJ356" s="203"/>
      <c r="AK356" s="203"/>
      <c r="AL356" s="203"/>
      <c r="AM356" s="203"/>
      <c r="AN356" s="203"/>
      <c r="AO356" s="205"/>
      <c r="AP356" s="205"/>
      <c r="AQ356" s="205"/>
      <c r="AR356" s="205"/>
      <c r="AS356" s="205"/>
      <c r="AT356" s="209"/>
      <c r="AU356" s="209"/>
      <c r="AV356" s="203"/>
      <c r="AW356" s="251"/>
      <c r="AX356" s="251"/>
      <c r="AY356" s="838"/>
      <c r="AZ356" s="838"/>
      <c r="BA356" s="840"/>
    </row>
    <row r="357" spans="2:53" s="76" customFormat="1" ht="63">
      <c r="B357" s="703">
        <f>B354+1</f>
        <v>240</v>
      </c>
      <c r="C357" s="197" t="s">
        <v>1148</v>
      </c>
      <c r="D357" s="198" t="s">
        <v>1372</v>
      </c>
      <c r="E357" s="703" t="s">
        <v>1867</v>
      </c>
      <c r="F357" s="206">
        <v>10</v>
      </c>
      <c r="G357" s="199">
        <v>5815</v>
      </c>
      <c r="H357" s="736"/>
      <c r="I357" s="199"/>
      <c r="J357" s="736"/>
      <c r="K357" s="199"/>
      <c r="L357" s="199"/>
      <c r="M357" s="736"/>
      <c r="N357" s="199"/>
      <c r="O357" s="737">
        <v>0.15</v>
      </c>
      <c r="P357" s="204">
        <f>G357*O357</f>
        <v>872.25</v>
      </c>
      <c r="Q357" s="199"/>
      <c r="R357" s="199">
        <f t="shared" ref="R357:R362" si="457">G357+I357+K357+L357+N357+P357+Q357</f>
        <v>6687.25</v>
      </c>
      <c r="S357" s="199">
        <v>1</v>
      </c>
      <c r="T357" s="199"/>
      <c r="U357" s="199"/>
      <c r="V357" s="736"/>
      <c r="W357" s="199"/>
      <c r="X357" s="718">
        <v>24</v>
      </c>
      <c r="Y357" s="737">
        <v>0.3</v>
      </c>
      <c r="Z357" s="199">
        <f t="shared" ref="Z357:Z362" si="458">R357*Y357</f>
        <v>2006.175</v>
      </c>
      <c r="AA357" s="199"/>
      <c r="AB357" s="199">
        <f>(R357+Z357)*S357</f>
        <v>8693.4249999999993</v>
      </c>
      <c r="AC357" s="738">
        <f t="shared" ref="AC357:AC362" si="459">AF357</f>
        <v>4806.5750000000007</v>
      </c>
      <c r="AD357" s="738">
        <f t="shared" ref="AD357:AD362" si="460">AB357+AC357</f>
        <v>13500</v>
      </c>
      <c r="AE357" s="202">
        <f t="shared" ref="AE357:AE362" si="461">13500*S357</f>
        <v>13500</v>
      </c>
      <c r="AF357" s="202">
        <f t="shared" ref="AF357:AF362" si="462">AE357-AB357</f>
        <v>4806.5750000000007</v>
      </c>
      <c r="AG357" s="738">
        <f t="shared" ref="AG357:AG362" si="463">7100*S357</f>
        <v>7100</v>
      </c>
      <c r="AH357" s="202"/>
      <c r="AI357" s="203">
        <f t="shared" ref="AI357:AI362" si="464">G357*S357</f>
        <v>5815</v>
      </c>
      <c r="AJ357" s="203">
        <f t="shared" ref="AJ357:AJ362" si="465">G357*T357</f>
        <v>0</v>
      </c>
      <c r="AK357" s="203">
        <f t="shared" ref="AK357:AK362" si="466">R357*S357</f>
        <v>6687.25</v>
      </c>
      <c r="AL357" s="203">
        <f t="shared" ref="AL357:AL362" si="467">R357*T357</f>
        <v>0</v>
      </c>
      <c r="AM357" s="203">
        <f t="shared" ref="AM357:AN362" si="468">AK357-AI357</f>
        <v>872.25</v>
      </c>
      <c r="AN357" s="203">
        <f t="shared" si="468"/>
        <v>0</v>
      </c>
      <c r="AO357" s="205">
        <f t="shared" ref="AO357:AO362" si="469">Z357*S357</f>
        <v>2006.175</v>
      </c>
      <c r="AP357" s="205">
        <f t="shared" ref="AP357:AP362" si="470">Z357*T357</f>
        <v>0</v>
      </c>
      <c r="AQ357" s="205">
        <f t="shared" ref="AQ357:AQ362" si="471">AA357</f>
        <v>0</v>
      </c>
      <c r="AR357" s="205">
        <f t="shared" ref="AR357:AR362" si="472">W357*S357</f>
        <v>0</v>
      </c>
      <c r="AS357" s="205">
        <f t="shared" ref="AS357:AS362" si="473">W357*T357</f>
        <v>0</v>
      </c>
      <c r="AT357" s="209">
        <f t="shared" si="454"/>
        <v>6687.25</v>
      </c>
      <c r="AU357" s="209">
        <f t="shared" si="454"/>
        <v>0</v>
      </c>
      <c r="AV357" s="203"/>
      <c r="AW357" s="251">
        <f t="shared" ref="AW357:AW362" si="474">R357*S357</f>
        <v>6687.25</v>
      </c>
      <c r="AX357" s="251"/>
      <c r="AY357" s="838">
        <f t="shared" si="455"/>
        <v>6687.25</v>
      </c>
      <c r="AZ357" s="838"/>
      <c r="BA357" s="840"/>
    </row>
    <row r="358" spans="2:53" s="76" customFormat="1" ht="58.5">
      <c r="B358" s="703">
        <f>1+B357</f>
        <v>241</v>
      </c>
      <c r="C358" s="197" t="s">
        <v>1148</v>
      </c>
      <c r="D358" s="198" t="s">
        <v>1373</v>
      </c>
      <c r="E358" s="703" t="s">
        <v>1158</v>
      </c>
      <c r="F358" s="206">
        <v>9</v>
      </c>
      <c r="G358" s="199">
        <v>5527</v>
      </c>
      <c r="H358" s="736"/>
      <c r="I358" s="199"/>
      <c r="J358" s="737"/>
      <c r="K358" s="201"/>
      <c r="L358" s="201"/>
      <c r="M358" s="736"/>
      <c r="N358" s="199"/>
      <c r="O358" s="737">
        <v>0.15</v>
      </c>
      <c r="P358" s="204">
        <f>G358*O358</f>
        <v>829.05</v>
      </c>
      <c r="Q358" s="206"/>
      <c r="R358" s="199">
        <f t="shared" si="457"/>
        <v>6356.05</v>
      </c>
      <c r="S358" s="199">
        <v>1</v>
      </c>
      <c r="T358" s="199"/>
      <c r="U358" s="206"/>
      <c r="V358" s="741"/>
      <c r="W358" s="206"/>
      <c r="X358" s="718">
        <v>18</v>
      </c>
      <c r="Y358" s="737">
        <v>0.2</v>
      </c>
      <c r="Z358" s="199">
        <f t="shared" si="458"/>
        <v>1271.21</v>
      </c>
      <c r="AA358" s="199"/>
      <c r="AB358" s="199">
        <f>(R358+Z358)*S358+AA358</f>
        <v>7627.26</v>
      </c>
      <c r="AC358" s="738">
        <f t="shared" si="459"/>
        <v>5872.74</v>
      </c>
      <c r="AD358" s="738">
        <f t="shared" si="460"/>
        <v>13500</v>
      </c>
      <c r="AE358" s="202">
        <f t="shared" si="461"/>
        <v>13500</v>
      </c>
      <c r="AF358" s="202">
        <f t="shared" si="462"/>
        <v>5872.74</v>
      </c>
      <c r="AG358" s="738">
        <f t="shared" si="463"/>
        <v>7100</v>
      </c>
      <c r="AH358" s="202"/>
      <c r="AI358" s="203">
        <f t="shared" si="464"/>
        <v>5527</v>
      </c>
      <c r="AJ358" s="203">
        <f t="shared" si="465"/>
        <v>0</v>
      </c>
      <c r="AK358" s="203">
        <f t="shared" si="466"/>
        <v>6356.05</v>
      </c>
      <c r="AL358" s="203">
        <f t="shared" si="467"/>
        <v>0</v>
      </c>
      <c r="AM358" s="203">
        <f t="shared" si="468"/>
        <v>829.05000000000018</v>
      </c>
      <c r="AN358" s="203">
        <f t="shared" si="468"/>
        <v>0</v>
      </c>
      <c r="AO358" s="205">
        <f t="shared" si="469"/>
        <v>1271.21</v>
      </c>
      <c r="AP358" s="205">
        <f t="shared" si="470"/>
        <v>0</v>
      </c>
      <c r="AQ358" s="205">
        <f t="shared" si="471"/>
        <v>0</v>
      </c>
      <c r="AR358" s="205">
        <f t="shared" si="472"/>
        <v>0</v>
      </c>
      <c r="AS358" s="205">
        <f t="shared" si="473"/>
        <v>0</v>
      </c>
      <c r="AT358" s="209">
        <f t="shared" si="454"/>
        <v>6356.05</v>
      </c>
      <c r="AU358" s="209">
        <f t="shared" si="454"/>
        <v>0</v>
      </c>
      <c r="AV358" s="203"/>
      <c r="AW358" s="251">
        <f t="shared" si="474"/>
        <v>6356.05</v>
      </c>
      <c r="AX358" s="251"/>
      <c r="AY358" s="838">
        <f t="shared" si="455"/>
        <v>6356.05</v>
      </c>
      <c r="AZ358" s="838"/>
      <c r="BA358" s="840"/>
    </row>
    <row r="359" spans="2:53" s="76" customFormat="1" ht="87.75">
      <c r="B359" s="703">
        <f>1+B358</f>
        <v>242</v>
      </c>
      <c r="C359" s="197" t="s">
        <v>1148</v>
      </c>
      <c r="D359" s="198" t="s">
        <v>204</v>
      </c>
      <c r="E359" s="703" t="s">
        <v>1159</v>
      </c>
      <c r="F359" s="206">
        <v>8</v>
      </c>
      <c r="G359" s="199">
        <v>5240</v>
      </c>
      <c r="H359" s="736"/>
      <c r="I359" s="199"/>
      <c r="J359" s="736"/>
      <c r="K359" s="199"/>
      <c r="L359" s="199"/>
      <c r="M359" s="736"/>
      <c r="N359" s="199"/>
      <c r="O359" s="737">
        <v>0.15</v>
      </c>
      <c r="P359" s="204">
        <f>G359*O359</f>
        <v>786</v>
      </c>
      <c r="Q359" s="199"/>
      <c r="R359" s="199">
        <f t="shared" si="457"/>
        <v>6026</v>
      </c>
      <c r="S359" s="199">
        <v>1</v>
      </c>
      <c r="T359" s="199"/>
      <c r="U359" s="199"/>
      <c r="V359" s="736"/>
      <c r="W359" s="199"/>
      <c r="X359" s="718">
        <v>10</v>
      </c>
      <c r="Y359" s="737">
        <v>0.2</v>
      </c>
      <c r="Z359" s="199">
        <f t="shared" si="458"/>
        <v>1205.2</v>
      </c>
      <c r="AA359" s="199"/>
      <c r="AB359" s="199">
        <f>(R359+Z359)*S359+AA359</f>
        <v>7231.2</v>
      </c>
      <c r="AC359" s="738">
        <f t="shared" si="459"/>
        <v>6268.8</v>
      </c>
      <c r="AD359" s="738">
        <f t="shared" si="460"/>
        <v>13500</v>
      </c>
      <c r="AE359" s="202">
        <f t="shared" si="461"/>
        <v>13500</v>
      </c>
      <c r="AF359" s="202">
        <f t="shared" si="462"/>
        <v>6268.8</v>
      </c>
      <c r="AG359" s="738">
        <f t="shared" si="463"/>
        <v>7100</v>
      </c>
      <c r="AH359" s="202">
        <f>AG359-(R359*S359)-(Z359*S359)</f>
        <v>-131.20000000000005</v>
      </c>
      <c r="AI359" s="203">
        <f t="shared" si="464"/>
        <v>5240</v>
      </c>
      <c r="AJ359" s="203">
        <f t="shared" si="465"/>
        <v>0</v>
      </c>
      <c r="AK359" s="203">
        <f t="shared" si="466"/>
        <v>6026</v>
      </c>
      <c r="AL359" s="203">
        <f t="shared" si="467"/>
        <v>0</v>
      </c>
      <c r="AM359" s="203">
        <f t="shared" si="468"/>
        <v>786</v>
      </c>
      <c r="AN359" s="203">
        <f t="shared" si="468"/>
        <v>0</v>
      </c>
      <c r="AO359" s="205">
        <f t="shared" si="469"/>
        <v>1205.2</v>
      </c>
      <c r="AP359" s="205">
        <f t="shared" si="470"/>
        <v>0</v>
      </c>
      <c r="AQ359" s="205">
        <f t="shared" si="471"/>
        <v>0</v>
      </c>
      <c r="AR359" s="205">
        <f t="shared" si="472"/>
        <v>0</v>
      </c>
      <c r="AS359" s="205">
        <f t="shared" si="473"/>
        <v>0</v>
      </c>
      <c r="AT359" s="209">
        <f t="shared" si="454"/>
        <v>6026</v>
      </c>
      <c r="AU359" s="209">
        <f t="shared" si="454"/>
        <v>0</v>
      </c>
      <c r="AV359" s="203"/>
      <c r="AW359" s="251">
        <f t="shared" si="474"/>
        <v>6026</v>
      </c>
      <c r="AX359" s="251"/>
      <c r="AY359" s="838">
        <f t="shared" si="455"/>
        <v>6026</v>
      </c>
      <c r="AZ359" s="838"/>
      <c r="BA359" s="840"/>
    </row>
    <row r="360" spans="2:53" s="76" customFormat="1" ht="58.5">
      <c r="B360" s="703">
        <f>1+B359</f>
        <v>243</v>
      </c>
      <c r="C360" s="197" t="s">
        <v>1148</v>
      </c>
      <c r="D360" s="198" t="s">
        <v>1370</v>
      </c>
      <c r="E360" s="703" t="s">
        <v>1149</v>
      </c>
      <c r="F360" s="703">
        <v>10</v>
      </c>
      <c r="G360" s="199">
        <v>5815</v>
      </c>
      <c r="H360" s="736"/>
      <c r="I360" s="199"/>
      <c r="J360" s="736"/>
      <c r="K360" s="199"/>
      <c r="L360" s="199"/>
      <c r="M360" s="736"/>
      <c r="N360" s="199"/>
      <c r="O360" s="737">
        <v>0.15</v>
      </c>
      <c r="P360" s="199">
        <f>(G360+I360)*O360</f>
        <v>872.25</v>
      </c>
      <c r="Q360" s="199"/>
      <c r="R360" s="199">
        <f t="shared" si="457"/>
        <v>6687.25</v>
      </c>
      <c r="S360" s="199">
        <v>1</v>
      </c>
      <c r="T360" s="199"/>
      <c r="U360" s="199"/>
      <c r="V360" s="736"/>
      <c r="W360" s="199"/>
      <c r="X360" s="718">
        <v>40</v>
      </c>
      <c r="Y360" s="737">
        <v>0.3</v>
      </c>
      <c r="Z360" s="199">
        <f t="shared" si="458"/>
        <v>2006.175</v>
      </c>
      <c r="AA360" s="199"/>
      <c r="AB360" s="199">
        <f>(R360+Z360)*S360</f>
        <v>8693.4249999999993</v>
      </c>
      <c r="AC360" s="738">
        <f t="shared" si="459"/>
        <v>4806.5750000000007</v>
      </c>
      <c r="AD360" s="738">
        <f t="shared" si="460"/>
        <v>13500</v>
      </c>
      <c r="AE360" s="202">
        <f t="shared" si="461"/>
        <v>13500</v>
      </c>
      <c r="AF360" s="202">
        <f t="shared" si="462"/>
        <v>4806.5750000000007</v>
      </c>
      <c r="AG360" s="738">
        <f t="shared" si="463"/>
        <v>7100</v>
      </c>
      <c r="AH360" s="202"/>
      <c r="AI360" s="203">
        <f t="shared" si="464"/>
        <v>5815</v>
      </c>
      <c r="AJ360" s="203">
        <f t="shared" si="465"/>
        <v>0</v>
      </c>
      <c r="AK360" s="203">
        <f t="shared" si="466"/>
        <v>6687.25</v>
      </c>
      <c r="AL360" s="203">
        <f t="shared" si="467"/>
        <v>0</v>
      </c>
      <c r="AM360" s="203">
        <f t="shared" si="468"/>
        <v>872.25</v>
      </c>
      <c r="AN360" s="203">
        <f t="shared" si="468"/>
        <v>0</v>
      </c>
      <c r="AO360" s="205">
        <f t="shared" si="469"/>
        <v>2006.175</v>
      </c>
      <c r="AP360" s="205">
        <f t="shared" si="470"/>
        <v>0</v>
      </c>
      <c r="AQ360" s="205">
        <f t="shared" si="471"/>
        <v>0</v>
      </c>
      <c r="AR360" s="205">
        <f t="shared" si="472"/>
        <v>0</v>
      </c>
      <c r="AS360" s="205">
        <f t="shared" si="473"/>
        <v>0</v>
      </c>
      <c r="AT360" s="209">
        <f t="shared" si="454"/>
        <v>6687.25</v>
      </c>
      <c r="AU360" s="209">
        <f t="shared" si="454"/>
        <v>0</v>
      </c>
      <c r="AV360" s="203"/>
      <c r="AW360" s="251">
        <f t="shared" si="474"/>
        <v>6687.25</v>
      </c>
      <c r="AX360" s="251"/>
      <c r="AY360" s="838">
        <f t="shared" si="455"/>
        <v>6687.25</v>
      </c>
      <c r="AZ360" s="838"/>
      <c r="BA360" s="840"/>
    </row>
    <row r="361" spans="2:53" s="76" customFormat="1" ht="58.5">
      <c r="B361" s="703">
        <f>1+B360</f>
        <v>244</v>
      </c>
      <c r="C361" s="197" t="s">
        <v>1148</v>
      </c>
      <c r="D361" s="198" t="s">
        <v>1150</v>
      </c>
      <c r="E361" s="703" t="s">
        <v>1151</v>
      </c>
      <c r="F361" s="703">
        <v>10</v>
      </c>
      <c r="G361" s="199">
        <v>5815</v>
      </c>
      <c r="H361" s="736"/>
      <c r="I361" s="199"/>
      <c r="J361" s="736"/>
      <c r="K361" s="199"/>
      <c r="L361" s="199"/>
      <c r="M361" s="736"/>
      <c r="N361" s="199"/>
      <c r="O361" s="737">
        <v>0.15</v>
      </c>
      <c r="P361" s="199">
        <f>(G361+I361)*O361</f>
        <v>872.25</v>
      </c>
      <c r="Q361" s="199"/>
      <c r="R361" s="199">
        <f t="shared" si="457"/>
        <v>6687.25</v>
      </c>
      <c r="S361" s="199">
        <v>1</v>
      </c>
      <c r="T361" s="206"/>
      <c r="U361" s="206"/>
      <c r="V361" s="741"/>
      <c r="W361" s="206"/>
      <c r="X361" s="718">
        <v>36</v>
      </c>
      <c r="Y361" s="737">
        <v>0.3</v>
      </c>
      <c r="Z361" s="199">
        <f t="shared" si="458"/>
        <v>2006.175</v>
      </c>
      <c r="AA361" s="199"/>
      <c r="AB361" s="199">
        <f>(R361+Z361)*S361</f>
        <v>8693.4249999999993</v>
      </c>
      <c r="AC361" s="738">
        <f t="shared" si="459"/>
        <v>4806.5750000000007</v>
      </c>
      <c r="AD361" s="738">
        <f t="shared" si="460"/>
        <v>13500</v>
      </c>
      <c r="AE361" s="202">
        <f t="shared" si="461"/>
        <v>13500</v>
      </c>
      <c r="AF361" s="202">
        <f t="shared" si="462"/>
        <v>4806.5750000000007</v>
      </c>
      <c r="AG361" s="738">
        <f t="shared" si="463"/>
        <v>7100</v>
      </c>
      <c r="AH361" s="202"/>
      <c r="AI361" s="203">
        <f t="shared" si="464"/>
        <v>5815</v>
      </c>
      <c r="AJ361" s="203">
        <f t="shared" si="465"/>
        <v>0</v>
      </c>
      <c r="AK361" s="203">
        <f t="shared" si="466"/>
        <v>6687.25</v>
      </c>
      <c r="AL361" s="203">
        <f t="shared" si="467"/>
        <v>0</v>
      </c>
      <c r="AM361" s="203">
        <f t="shared" si="468"/>
        <v>872.25</v>
      </c>
      <c r="AN361" s="203">
        <f t="shared" si="468"/>
        <v>0</v>
      </c>
      <c r="AO361" s="205">
        <f t="shared" si="469"/>
        <v>2006.175</v>
      </c>
      <c r="AP361" s="205">
        <f t="shared" si="470"/>
        <v>0</v>
      </c>
      <c r="AQ361" s="205">
        <f t="shared" si="471"/>
        <v>0</v>
      </c>
      <c r="AR361" s="205">
        <f t="shared" si="472"/>
        <v>0</v>
      </c>
      <c r="AS361" s="205">
        <f t="shared" si="473"/>
        <v>0</v>
      </c>
      <c r="AT361" s="209">
        <f t="shared" si="454"/>
        <v>6687.25</v>
      </c>
      <c r="AU361" s="209">
        <f t="shared" si="454"/>
        <v>0</v>
      </c>
      <c r="AV361" s="203"/>
      <c r="AW361" s="251">
        <f t="shared" si="474"/>
        <v>6687.25</v>
      </c>
      <c r="AX361" s="251"/>
      <c r="AY361" s="838">
        <f t="shared" si="455"/>
        <v>6687.25</v>
      </c>
      <c r="AZ361" s="838"/>
      <c r="BA361" s="840"/>
    </row>
    <row r="362" spans="2:53" s="76" customFormat="1" ht="58.5">
      <c r="B362" s="703">
        <f>1+B361</f>
        <v>245</v>
      </c>
      <c r="C362" s="197" t="s">
        <v>1148</v>
      </c>
      <c r="D362" s="198" t="s">
        <v>1371</v>
      </c>
      <c r="E362" s="703" t="s">
        <v>1152</v>
      </c>
      <c r="F362" s="703">
        <v>10</v>
      </c>
      <c r="G362" s="199">
        <v>5815</v>
      </c>
      <c r="H362" s="736"/>
      <c r="I362" s="199"/>
      <c r="J362" s="736"/>
      <c r="K362" s="199"/>
      <c r="L362" s="199"/>
      <c r="M362" s="736"/>
      <c r="N362" s="199"/>
      <c r="O362" s="737">
        <v>0.15</v>
      </c>
      <c r="P362" s="199">
        <f>(G362+I362)*O362</f>
        <v>872.25</v>
      </c>
      <c r="Q362" s="199"/>
      <c r="R362" s="199">
        <f t="shared" si="457"/>
        <v>6687.25</v>
      </c>
      <c r="S362" s="199">
        <v>1</v>
      </c>
      <c r="T362" s="199"/>
      <c r="U362" s="199"/>
      <c r="V362" s="736"/>
      <c r="W362" s="199"/>
      <c r="X362" s="718">
        <v>34</v>
      </c>
      <c r="Y362" s="737">
        <v>0.3</v>
      </c>
      <c r="Z362" s="199">
        <f t="shared" si="458"/>
        <v>2006.175</v>
      </c>
      <c r="AA362" s="199"/>
      <c r="AB362" s="199">
        <f>(R362+Z362)*S362</f>
        <v>8693.4249999999993</v>
      </c>
      <c r="AC362" s="738">
        <f t="shared" si="459"/>
        <v>4806.5750000000007</v>
      </c>
      <c r="AD362" s="738">
        <f t="shared" si="460"/>
        <v>13500</v>
      </c>
      <c r="AE362" s="202">
        <f t="shared" si="461"/>
        <v>13500</v>
      </c>
      <c r="AF362" s="202">
        <f t="shared" si="462"/>
        <v>4806.5750000000007</v>
      </c>
      <c r="AG362" s="738">
        <f t="shared" si="463"/>
        <v>7100</v>
      </c>
      <c r="AH362" s="202"/>
      <c r="AI362" s="203">
        <f t="shared" si="464"/>
        <v>5815</v>
      </c>
      <c r="AJ362" s="203">
        <f t="shared" si="465"/>
        <v>0</v>
      </c>
      <c r="AK362" s="203">
        <f t="shared" si="466"/>
        <v>6687.25</v>
      </c>
      <c r="AL362" s="203">
        <f t="shared" si="467"/>
        <v>0</v>
      </c>
      <c r="AM362" s="203">
        <f t="shared" si="468"/>
        <v>872.25</v>
      </c>
      <c r="AN362" s="203">
        <f t="shared" si="468"/>
        <v>0</v>
      </c>
      <c r="AO362" s="205">
        <f t="shared" si="469"/>
        <v>2006.175</v>
      </c>
      <c r="AP362" s="205">
        <f t="shared" si="470"/>
        <v>0</v>
      </c>
      <c r="AQ362" s="205">
        <f t="shared" si="471"/>
        <v>0</v>
      </c>
      <c r="AR362" s="205">
        <f t="shared" si="472"/>
        <v>0</v>
      </c>
      <c r="AS362" s="205">
        <f t="shared" si="473"/>
        <v>0</v>
      </c>
      <c r="AT362" s="209">
        <f t="shared" si="454"/>
        <v>6687.25</v>
      </c>
      <c r="AU362" s="209">
        <f t="shared" si="454"/>
        <v>0</v>
      </c>
      <c r="AV362" s="203"/>
      <c r="AW362" s="251">
        <f t="shared" si="474"/>
        <v>6687.25</v>
      </c>
      <c r="AX362" s="251"/>
      <c r="AY362" s="838">
        <f t="shared" si="455"/>
        <v>6687.25</v>
      </c>
      <c r="AZ362" s="838"/>
      <c r="BA362" s="840"/>
    </row>
    <row r="363" spans="2:53" s="76" customFormat="1" ht="34.5">
      <c r="B363" s="703"/>
      <c r="C363" s="180" t="s">
        <v>1736</v>
      </c>
      <c r="D363" s="207"/>
      <c r="E363" s="193"/>
      <c r="F363" s="193"/>
      <c r="G363" s="183">
        <f>SUM(G357:G362)</f>
        <v>34027</v>
      </c>
      <c r="H363" s="731"/>
      <c r="I363" s="193"/>
      <c r="J363" s="731"/>
      <c r="K363" s="193"/>
      <c r="L363" s="193"/>
      <c r="M363" s="731"/>
      <c r="N363" s="193"/>
      <c r="O363" s="731"/>
      <c r="P363" s="183">
        <f>SUM(P357:P362)</f>
        <v>5104.05</v>
      </c>
      <c r="Q363" s="193"/>
      <c r="R363" s="183">
        <f>SUM(R357:R362)</f>
        <v>39131.050000000003</v>
      </c>
      <c r="S363" s="183">
        <f>SUM(S357:S362)</f>
        <v>6</v>
      </c>
      <c r="T363" s="183">
        <f>SUM(T357:T362)</f>
        <v>0</v>
      </c>
      <c r="U363" s="183"/>
      <c r="V363" s="742"/>
      <c r="W363" s="183"/>
      <c r="X363" s="742"/>
      <c r="Y363" s="742"/>
      <c r="Z363" s="183">
        <f>SUM(Z357:Z362)</f>
        <v>10501.109999999999</v>
      </c>
      <c r="AA363" s="183">
        <f>SUM(AA357:AA362)</f>
        <v>0</v>
      </c>
      <c r="AB363" s="183">
        <f>SUM(AB357:AB362)</f>
        <v>49632.160000000003</v>
      </c>
      <c r="AC363" s="183">
        <f t="shared" ref="AC363:AV363" si="475">SUM(AC357:AC362)</f>
        <v>31367.840000000004</v>
      </c>
      <c r="AD363" s="183">
        <f>SUM(AD357:AD362)</f>
        <v>81000</v>
      </c>
      <c r="AE363" s="183">
        <f t="shared" si="475"/>
        <v>81000</v>
      </c>
      <c r="AF363" s="183">
        <f t="shared" si="475"/>
        <v>31367.840000000004</v>
      </c>
      <c r="AG363" s="183">
        <f t="shared" si="475"/>
        <v>42600</v>
      </c>
      <c r="AH363" s="183">
        <f t="shared" si="475"/>
        <v>-131.20000000000005</v>
      </c>
      <c r="AI363" s="183">
        <f t="shared" si="475"/>
        <v>34027</v>
      </c>
      <c r="AJ363" s="183">
        <f t="shared" si="475"/>
        <v>0</v>
      </c>
      <c r="AK363" s="183">
        <f t="shared" si="475"/>
        <v>39131.050000000003</v>
      </c>
      <c r="AL363" s="183">
        <f t="shared" si="475"/>
        <v>0</v>
      </c>
      <c r="AM363" s="183">
        <f t="shared" si="475"/>
        <v>5104.05</v>
      </c>
      <c r="AN363" s="183">
        <f t="shared" si="475"/>
        <v>0</v>
      </c>
      <c r="AO363" s="183">
        <f t="shared" si="475"/>
        <v>10501.109999999999</v>
      </c>
      <c r="AP363" s="183">
        <f t="shared" si="475"/>
        <v>0</v>
      </c>
      <c r="AQ363" s="183">
        <f t="shared" si="475"/>
        <v>0</v>
      </c>
      <c r="AR363" s="183">
        <f t="shared" si="475"/>
        <v>0</v>
      </c>
      <c r="AS363" s="183">
        <f t="shared" si="475"/>
        <v>0</v>
      </c>
      <c r="AT363" s="183">
        <f t="shared" si="475"/>
        <v>39131.050000000003</v>
      </c>
      <c r="AU363" s="183">
        <f t="shared" si="475"/>
        <v>0</v>
      </c>
      <c r="AV363" s="183">
        <f t="shared" si="475"/>
        <v>0</v>
      </c>
      <c r="AW363" s="183">
        <f>SUM(AW357:AW362)</f>
        <v>39131.050000000003</v>
      </c>
      <c r="AX363" s="251"/>
      <c r="AY363" s="840"/>
      <c r="AZ363" s="838"/>
      <c r="BA363" s="840"/>
    </row>
    <row r="364" spans="2:53" s="76" customFormat="1" ht="34.5">
      <c r="B364" s="703"/>
      <c r="C364" s="220" t="s">
        <v>1874</v>
      </c>
      <c r="D364" s="207"/>
      <c r="E364" s="193"/>
      <c r="F364" s="193"/>
      <c r="G364" s="183"/>
      <c r="H364" s="752"/>
      <c r="I364" s="183"/>
      <c r="J364" s="731"/>
      <c r="K364" s="193"/>
      <c r="L364" s="193"/>
      <c r="M364" s="731"/>
      <c r="N364" s="193"/>
      <c r="O364" s="731"/>
      <c r="P364" s="193"/>
      <c r="Q364" s="193"/>
      <c r="R364" s="183"/>
      <c r="S364" s="183"/>
      <c r="T364" s="183"/>
      <c r="U364" s="183"/>
      <c r="V364" s="742"/>
      <c r="W364" s="183"/>
      <c r="X364" s="742"/>
      <c r="Y364" s="742"/>
      <c r="Z364" s="183"/>
      <c r="AA364" s="183"/>
      <c r="AB364" s="183"/>
      <c r="AC364" s="208"/>
      <c r="AD364" s="208"/>
      <c r="AE364" s="208"/>
      <c r="AF364" s="208"/>
      <c r="AG364" s="208"/>
      <c r="AH364" s="208"/>
      <c r="AI364" s="203"/>
      <c r="AJ364" s="203"/>
      <c r="AK364" s="203"/>
      <c r="AL364" s="203"/>
      <c r="AM364" s="203"/>
      <c r="AN364" s="203"/>
      <c r="AO364" s="205"/>
      <c r="AP364" s="205"/>
      <c r="AQ364" s="205"/>
      <c r="AR364" s="205"/>
      <c r="AS364" s="205"/>
      <c r="AT364" s="209"/>
      <c r="AU364" s="209"/>
      <c r="AV364" s="203"/>
      <c r="AW364" s="251"/>
      <c r="AX364" s="251"/>
      <c r="AY364" s="840"/>
      <c r="AZ364" s="838"/>
      <c r="BA364" s="840"/>
    </row>
    <row r="365" spans="2:53" s="76" customFormat="1" ht="94.5">
      <c r="B365" s="703">
        <f>B362+1</f>
        <v>246</v>
      </c>
      <c r="C365" s="197" t="s">
        <v>1188</v>
      </c>
      <c r="D365" s="198"/>
      <c r="E365" s="703" t="s">
        <v>205</v>
      </c>
      <c r="F365" s="703">
        <v>3</v>
      </c>
      <c r="G365" s="199">
        <v>3770</v>
      </c>
      <c r="H365" s="736"/>
      <c r="I365" s="199"/>
      <c r="J365" s="736"/>
      <c r="K365" s="199"/>
      <c r="L365" s="199"/>
      <c r="M365" s="736"/>
      <c r="N365" s="199"/>
      <c r="O365" s="736"/>
      <c r="P365" s="199"/>
      <c r="Q365" s="199"/>
      <c r="R365" s="199">
        <f>G365+I365+K365+L365+N365+P365+Q365</f>
        <v>3770</v>
      </c>
      <c r="S365" s="199">
        <v>1</v>
      </c>
      <c r="T365" s="199"/>
      <c r="U365" s="199"/>
      <c r="V365" s="737">
        <v>0.1</v>
      </c>
      <c r="W365" s="199">
        <f>R365*V365</f>
        <v>377</v>
      </c>
      <c r="X365" s="718"/>
      <c r="Y365" s="737"/>
      <c r="Z365" s="199"/>
      <c r="AA365" s="199">
        <f>AH365</f>
        <v>3330</v>
      </c>
      <c r="AB365" s="199">
        <f>(R365+Z365+U365+W365)*S365+AA365</f>
        <v>7477</v>
      </c>
      <c r="AC365" s="738">
        <f>AF365</f>
        <v>0</v>
      </c>
      <c r="AD365" s="738">
        <f>AB365+AC365</f>
        <v>7477</v>
      </c>
      <c r="AE365" s="202">
        <f>AB365</f>
        <v>7477</v>
      </c>
      <c r="AF365" s="202">
        <f>AE365-AB365</f>
        <v>0</v>
      </c>
      <c r="AG365" s="738">
        <f>7100*S365</f>
        <v>7100</v>
      </c>
      <c r="AH365" s="202">
        <f>AG365-(R365*S365)</f>
        <v>3330</v>
      </c>
      <c r="AI365" s="203">
        <f>G365*S365</f>
        <v>3770</v>
      </c>
      <c r="AJ365" s="203">
        <f>G365*T365</f>
        <v>0</v>
      </c>
      <c r="AK365" s="203">
        <f>R365*S365</f>
        <v>3770</v>
      </c>
      <c r="AL365" s="203">
        <f>R365*T365</f>
        <v>0</v>
      </c>
      <c r="AM365" s="203">
        <f>AK365-AI365</f>
        <v>0</v>
      </c>
      <c r="AN365" s="203">
        <f>AL365-AJ365</f>
        <v>0</v>
      </c>
      <c r="AO365" s="205">
        <f>Z365*S365</f>
        <v>0</v>
      </c>
      <c r="AP365" s="205">
        <f>Z365*T365</f>
        <v>0</v>
      </c>
      <c r="AQ365" s="205">
        <f>AA365</f>
        <v>3330</v>
      </c>
      <c r="AR365" s="205">
        <f>W365*S365</f>
        <v>377</v>
      </c>
      <c r="AS365" s="205">
        <f>W365*T365</f>
        <v>0</v>
      </c>
      <c r="AT365" s="209">
        <f t="shared" si="454"/>
        <v>3770</v>
      </c>
      <c r="AU365" s="209">
        <f t="shared" si="454"/>
        <v>0</v>
      </c>
      <c r="AV365" s="203"/>
      <c r="AW365" s="251">
        <f>R365*S365</f>
        <v>3770</v>
      </c>
      <c r="AX365" s="251"/>
      <c r="AY365" s="838">
        <f>AW365</f>
        <v>3770</v>
      </c>
      <c r="AZ365" s="838"/>
      <c r="BA365" s="840"/>
    </row>
    <row r="366" spans="2:53" s="76" customFormat="1" ht="34.5">
      <c r="B366" s="703"/>
      <c r="C366" s="180" t="s">
        <v>1736</v>
      </c>
      <c r="D366" s="207"/>
      <c r="E366" s="193"/>
      <c r="F366" s="193"/>
      <c r="G366" s="183">
        <f>SUM(G365)</f>
        <v>3770</v>
      </c>
      <c r="H366" s="742"/>
      <c r="I366" s="183"/>
      <c r="J366" s="742"/>
      <c r="K366" s="183"/>
      <c r="L366" s="183"/>
      <c r="M366" s="742"/>
      <c r="N366" s="183"/>
      <c r="O366" s="742"/>
      <c r="P366" s="183"/>
      <c r="Q366" s="183"/>
      <c r="R366" s="183">
        <f t="shared" ref="R366:AW366" si="476">SUM(R365)</f>
        <v>3770</v>
      </c>
      <c r="S366" s="183">
        <f t="shared" si="476"/>
        <v>1</v>
      </c>
      <c r="T366" s="183">
        <f t="shared" si="476"/>
        <v>0</v>
      </c>
      <c r="U366" s="183"/>
      <c r="V366" s="742"/>
      <c r="W366" s="183">
        <f t="shared" si="476"/>
        <v>377</v>
      </c>
      <c r="X366" s="742"/>
      <c r="Y366" s="742"/>
      <c r="Z366" s="183">
        <f t="shared" si="476"/>
        <v>0</v>
      </c>
      <c r="AA366" s="183">
        <f t="shared" si="476"/>
        <v>3330</v>
      </c>
      <c r="AB366" s="183">
        <f t="shared" si="476"/>
        <v>7477</v>
      </c>
      <c r="AC366" s="183">
        <f t="shared" si="476"/>
        <v>0</v>
      </c>
      <c r="AD366" s="183">
        <f>SUM(AD365)</f>
        <v>7477</v>
      </c>
      <c r="AE366" s="183">
        <f t="shared" si="476"/>
        <v>7477</v>
      </c>
      <c r="AF366" s="183">
        <f t="shared" si="476"/>
        <v>0</v>
      </c>
      <c r="AG366" s="183">
        <f>SUM(AG365)</f>
        <v>7100</v>
      </c>
      <c r="AH366" s="183">
        <f t="shared" si="476"/>
        <v>3330</v>
      </c>
      <c r="AI366" s="183">
        <f t="shared" si="476"/>
        <v>3770</v>
      </c>
      <c r="AJ366" s="183">
        <f t="shared" si="476"/>
        <v>0</v>
      </c>
      <c r="AK366" s="183">
        <f t="shared" si="476"/>
        <v>3770</v>
      </c>
      <c r="AL366" s="183">
        <f t="shared" si="476"/>
        <v>0</v>
      </c>
      <c r="AM366" s="183">
        <f t="shared" si="476"/>
        <v>0</v>
      </c>
      <c r="AN366" s="183">
        <f t="shared" si="476"/>
        <v>0</v>
      </c>
      <c r="AO366" s="183">
        <f t="shared" si="476"/>
        <v>0</v>
      </c>
      <c r="AP366" s="183">
        <f t="shared" si="476"/>
        <v>0</v>
      </c>
      <c r="AQ366" s="183">
        <f t="shared" si="476"/>
        <v>3330</v>
      </c>
      <c r="AR366" s="183">
        <f t="shared" si="476"/>
        <v>377</v>
      </c>
      <c r="AS366" s="183">
        <f t="shared" si="476"/>
        <v>0</v>
      </c>
      <c r="AT366" s="183">
        <f t="shared" si="476"/>
        <v>3770</v>
      </c>
      <c r="AU366" s="183">
        <f t="shared" si="476"/>
        <v>0</v>
      </c>
      <c r="AV366" s="183">
        <f t="shared" si="476"/>
        <v>0</v>
      </c>
      <c r="AW366" s="183">
        <f t="shared" si="476"/>
        <v>3770</v>
      </c>
      <c r="AX366" s="251"/>
      <c r="AY366" s="840"/>
      <c r="AZ366" s="838"/>
      <c r="BA366" s="840"/>
    </row>
    <row r="367" spans="2:53" s="76" customFormat="1" ht="34.5">
      <c r="B367" s="703"/>
      <c r="C367" s="180" t="s">
        <v>1278</v>
      </c>
      <c r="D367" s="207"/>
      <c r="E367" s="193"/>
      <c r="F367" s="193"/>
      <c r="G367" s="183">
        <f>G355+G363+G366</f>
        <v>52303</v>
      </c>
      <c r="H367" s="742"/>
      <c r="I367" s="183">
        <f t="shared" ref="I367:AW367" si="477">I355+I363+I366</f>
        <v>725.30000000000007</v>
      </c>
      <c r="J367" s="742"/>
      <c r="K367" s="183"/>
      <c r="L367" s="183"/>
      <c r="M367" s="742"/>
      <c r="N367" s="183"/>
      <c r="O367" s="742"/>
      <c r="P367" s="183">
        <f t="shared" si="477"/>
        <v>7388.7449999999999</v>
      </c>
      <c r="Q367" s="183"/>
      <c r="R367" s="183">
        <f t="shared" si="477"/>
        <v>60417.045000000006</v>
      </c>
      <c r="S367" s="183">
        <f>S355+S363+S366</f>
        <v>9</v>
      </c>
      <c r="T367" s="183">
        <f t="shared" si="477"/>
        <v>0</v>
      </c>
      <c r="U367" s="183"/>
      <c r="V367" s="742"/>
      <c r="W367" s="183">
        <f t="shared" si="477"/>
        <v>377</v>
      </c>
      <c r="X367" s="742"/>
      <c r="Y367" s="742"/>
      <c r="Z367" s="183">
        <f>Z355+Z363+Z366</f>
        <v>15755.9085</v>
      </c>
      <c r="AA367" s="183">
        <f>AA355+AA363+AA366</f>
        <v>3330</v>
      </c>
      <c r="AB367" s="183">
        <f t="shared" si="477"/>
        <v>79879.953500000003</v>
      </c>
      <c r="AC367" s="183">
        <f t="shared" si="477"/>
        <v>48597.046500000004</v>
      </c>
      <c r="AD367" s="183">
        <f>AD355+AD363+AD366</f>
        <v>128477</v>
      </c>
      <c r="AE367" s="183">
        <f t="shared" si="477"/>
        <v>128477</v>
      </c>
      <c r="AF367" s="183">
        <f t="shared" si="477"/>
        <v>48597.046500000004</v>
      </c>
      <c r="AG367" s="183">
        <f>AG355+AG363+AG366</f>
        <v>63900</v>
      </c>
      <c r="AH367" s="183">
        <f t="shared" si="477"/>
        <v>11769.593499999999</v>
      </c>
      <c r="AI367" s="183">
        <f t="shared" si="477"/>
        <v>52303</v>
      </c>
      <c r="AJ367" s="183">
        <f t="shared" si="477"/>
        <v>0</v>
      </c>
      <c r="AK367" s="183">
        <f t="shared" si="477"/>
        <v>60417.045000000006</v>
      </c>
      <c r="AL367" s="183">
        <f t="shared" si="477"/>
        <v>0</v>
      </c>
      <c r="AM367" s="183">
        <f t="shared" si="477"/>
        <v>8114.045000000001</v>
      </c>
      <c r="AN367" s="183">
        <f t="shared" si="477"/>
        <v>0</v>
      </c>
      <c r="AO367" s="183">
        <f t="shared" si="477"/>
        <v>15755.9085</v>
      </c>
      <c r="AP367" s="183">
        <f t="shared" si="477"/>
        <v>0</v>
      </c>
      <c r="AQ367" s="183">
        <f t="shared" si="477"/>
        <v>3330</v>
      </c>
      <c r="AR367" s="183">
        <f t="shared" si="477"/>
        <v>377</v>
      </c>
      <c r="AS367" s="183">
        <f t="shared" si="477"/>
        <v>0</v>
      </c>
      <c r="AT367" s="183">
        <f t="shared" si="477"/>
        <v>60417.045000000006</v>
      </c>
      <c r="AU367" s="183">
        <f t="shared" si="477"/>
        <v>0</v>
      </c>
      <c r="AV367" s="183">
        <f t="shared" si="477"/>
        <v>0</v>
      </c>
      <c r="AW367" s="183">
        <f t="shared" si="477"/>
        <v>60417.045000000006</v>
      </c>
      <c r="AX367" s="251"/>
      <c r="AY367" s="840"/>
      <c r="AZ367" s="838"/>
      <c r="BA367" s="840"/>
    </row>
    <row r="368" spans="2:53" s="76" customFormat="1" ht="34.5">
      <c r="B368" s="703"/>
      <c r="C368" s="191" t="s">
        <v>1882</v>
      </c>
      <c r="D368" s="192"/>
      <c r="E368" s="193"/>
      <c r="F368" s="193"/>
      <c r="G368" s="193"/>
      <c r="H368" s="731"/>
      <c r="I368" s="193"/>
      <c r="J368" s="731"/>
      <c r="K368" s="193"/>
      <c r="L368" s="193"/>
      <c r="M368" s="731"/>
      <c r="N368" s="193"/>
      <c r="O368" s="731"/>
      <c r="P368" s="193"/>
      <c r="Q368" s="193"/>
      <c r="R368" s="193"/>
      <c r="S368" s="193"/>
      <c r="T368" s="193"/>
      <c r="U368" s="193"/>
      <c r="V368" s="732"/>
      <c r="W368" s="193"/>
      <c r="X368" s="732"/>
      <c r="Y368" s="732"/>
      <c r="Z368" s="193"/>
      <c r="AA368" s="193"/>
      <c r="AB368" s="193"/>
      <c r="AC368" s="195"/>
      <c r="AD368" s="195"/>
      <c r="AE368" s="195"/>
      <c r="AF368" s="195"/>
      <c r="AG368" s="195"/>
      <c r="AH368" s="195"/>
      <c r="AI368" s="203"/>
      <c r="AJ368" s="203"/>
      <c r="AK368" s="203"/>
      <c r="AL368" s="203"/>
      <c r="AM368" s="203"/>
      <c r="AN368" s="203"/>
      <c r="AO368" s="205"/>
      <c r="AP368" s="205"/>
      <c r="AQ368" s="205"/>
      <c r="AR368" s="205"/>
      <c r="AS368" s="205"/>
      <c r="AT368" s="209"/>
      <c r="AU368" s="209"/>
      <c r="AV368" s="203"/>
      <c r="AW368" s="251"/>
      <c r="AX368" s="251"/>
      <c r="AY368" s="840"/>
      <c r="AZ368" s="838"/>
      <c r="BA368" s="840"/>
    </row>
    <row r="369" spans="2:53" s="76" customFormat="1" ht="34.5">
      <c r="B369" s="703"/>
      <c r="C369" s="220" t="s">
        <v>1382</v>
      </c>
      <c r="D369" s="217"/>
      <c r="E369" s="218"/>
      <c r="F369" s="218"/>
      <c r="G369" s="218"/>
      <c r="H369" s="745"/>
      <c r="I369" s="218"/>
      <c r="J369" s="745"/>
      <c r="K369" s="218"/>
      <c r="L369" s="218"/>
      <c r="M369" s="745"/>
      <c r="N369" s="218"/>
      <c r="O369" s="745"/>
      <c r="P369" s="218"/>
      <c r="Q369" s="218"/>
      <c r="R369" s="218"/>
      <c r="S369" s="218"/>
      <c r="T369" s="218"/>
      <c r="U369" s="218"/>
      <c r="V369" s="746"/>
      <c r="W369" s="218"/>
      <c r="X369" s="746"/>
      <c r="Y369" s="746"/>
      <c r="Z369" s="218"/>
      <c r="AA369" s="218"/>
      <c r="AB369" s="218"/>
      <c r="AC369" s="219"/>
      <c r="AD369" s="219"/>
      <c r="AE369" s="219"/>
      <c r="AF369" s="219"/>
      <c r="AG369" s="219"/>
      <c r="AH369" s="219"/>
      <c r="AI369" s="203"/>
      <c r="AJ369" s="203"/>
      <c r="AK369" s="203"/>
      <c r="AL369" s="203"/>
      <c r="AM369" s="203"/>
      <c r="AN369" s="203"/>
      <c r="AO369" s="205"/>
      <c r="AP369" s="205"/>
      <c r="AQ369" s="205"/>
      <c r="AR369" s="205"/>
      <c r="AS369" s="205"/>
      <c r="AT369" s="209"/>
      <c r="AU369" s="209"/>
      <c r="AV369" s="203"/>
      <c r="AW369" s="251"/>
      <c r="AX369" s="251"/>
      <c r="AY369" s="840"/>
      <c r="AZ369" s="838"/>
      <c r="BA369" s="841"/>
    </row>
    <row r="370" spans="2:53" s="76" customFormat="1" ht="58.5">
      <c r="B370" s="703">
        <f>B365+1</f>
        <v>247</v>
      </c>
      <c r="C370" s="197" t="s">
        <v>1051</v>
      </c>
      <c r="D370" s="198" t="s">
        <v>1052</v>
      </c>
      <c r="E370" s="703" t="s">
        <v>1053</v>
      </c>
      <c r="F370" s="703">
        <v>12</v>
      </c>
      <c r="G370" s="199">
        <v>6773</v>
      </c>
      <c r="H370" s="718"/>
      <c r="I370" s="703"/>
      <c r="J370" s="718"/>
      <c r="K370" s="703"/>
      <c r="L370" s="703"/>
      <c r="M370" s="718"/>
      <c r="N370" s="222"/>
      <c r="O370" s="737">
        <v>0.15</v>
      </c>
      <c r="P370" s="204">
        <f>G370*O370</f>
        <v>1015.9499999999999</v>
      </c>
      <c r="Q370" s="201"/>
      <c r="R370" s="199">
        <f>G370+I370+K370+L370+N370+P370+Q370</f>
        <v>7788.95</v>
      </c>
      <c r="S370" s="199"/>
      <c r="T370" s="199">
        <v>0.5</v>
      </c>
      <c r="U370" s="703"/>
      <c r="V370" s="718"/>
      <c r="W370" s="703"/>
      <c r="X370" s="718">
        <v>14</v>
      </c>
      <c r="Y370" s="737">
        <v>0.2</v>
      </c>
      <c r="Z370" s="199">
        <f>R370*Y370</f>
        <v>1557.79</v>
      </c>
      <c r="AA370" s="199"/>
      <c r="AB370" s="199">
        <f>(R370+Z370)*T370+AA370</f>
        <v>4673.37</v>
      </c>
      <c r="AC370" s="738">
        <f>AF370</f>
        <v>5326.63</v>
      </c>
      <c r="AD370" s="738">
        <f>AB370+AC370</f>
        <v>10000</v>
      </c>
      <c r="AE370" s="202">
        <f>20000*T370</f>
        <v>10000</v>
      </c>
      <c r="AF370" s="202">
        <f>AE370-AB370</f>
        <v>5326.63</v>
      </c>
      <c r="AG370" s="738">
        <f>7100*T370</f>
        <v>3550</v>
      </c>
      <c r="AH370" s="202">
        <f>AB370-AG370</f>
        <v>1123.3699999999999</v>
      </c>
      <c r="AI370" s="203">
        <f>G370*S370</f>
        <v>0</v>
      </c>
      <c r="AJ370" s="203">
        <f>G370*T370</f>
        <v>3386.5</v>
      </c>
      <c r="AK370" s="203">
        <f>R370*S370</f>
        <v>0</v>
      </c>
      <c r="AL370" s="203">
        <f>R370*T370</f>
        <v>3894.4749999999999</v>
      </c>
      <c r="AM370" s="203">
        <f>AK370-AI370</f>
        <v>0</v>
      </c>
      <c r="AN370" s="203">
        <f>AL370-AJ370</f>
        <v>507.97499999999991</v>
      </c>
      <c r="AO370" s="205">
        <f>Z370*S370</f>
        <v>0</v>
      </c>
      <c r="AP370" s="205">
        <f>Z370*T370</f>
        <v>778.89499999999998</v>
      </c>
      <c r="AQ370" s="205">
        <f>AA370</f>
        <v>0</v>
      </c>
      <c r="AR370" s="205">
        <f>W370*S370</f>
        <v>0</v>
      </c>
      <c r="AS370" s="205">
        <f>W370*T370</f>
        <v>0</v>
      </c>
      <c r="AT370" s="209">
        <f t="shared" si="454"/>
        <v>0</v>
      </c>
      <c r="AU370" s="209">
        <f t="shared" si="454"/>
        <v>3894.4749999999999</v>
      </c>
      <c r="AV370" s="203"/>
      <c r="AW370" s="251">
        <f>R370*T370</f>
        <v>3894.4749999999999</v>
      </c>
      <c r="AX370" s="251"/>
      <c r="AY370" s="838">
        <f>AW370</f>
        <v>3894.4749999999999</v>
      </c>
      <c r="AZ370" s="838"/>
      <c r="BA370" s="840"/>
    </row>
    <row r="371" spans="2:53" s="76" customFormat="1" ht="34.5">
      <c r="B371" s="703"/>
      <c r="C371" s="180" t="s">
        <v>1736</v>
      </c>
      <c r="D371" s="207"/>
      <c r="E371" s="193"/>
      <c r="F371" s="193"/>
      <c r="G371" s="183">
        <f>SUM(G370:G370)</f>
        <v>6773</v>
      </c>
      <c r="H371" s="752"/>
      <c r="I371" s="183"/>
      <c r="J371" s="752"/>
      <c r="K371" s="183"/>
      <c r="L371" s="183"/>
      <c r="M371" s="752"/>
      <c r="N371" s="183"/>
      <c r="O371" s="752"/>
      <c r="P371" s="183">
        <f>SUM(P370:P370)</f>
        <v>1015.9499999999999</v>
      </c>
      <c r="Q371" s="183"/>
      <c r="R371" s="183">
        <f>SUM(R370:R370)</f>
        <v>7788.95</v>
      </c>
      <c r="S371" s="183">
        <f>SUM(S370:S370)</f>
        <v>0</v>
      </c>
      <c r="T371" s="183">
        <f>SUM(T370:T370)</f>
        <v>0.5</v>
      </c>
      <c r="U371" s="183"/>
      <c r="V371" s="742"/>
      <c r="W371" s="183"/>
      <c r="X371" s="742"/>
      <c r="Y371" s="742"/>
      <c r="Z371" s="183">
        <f t="shared" ref="Z371:AW371" si="478">SUM(Z370:Z370)</f>
        <v>1557.79</v>
      </c>
      <c r="AA371" s="183">
        <f t="shared" si="478"/>
        <v>0</v>
      </c>
      <c r="AB371" s="183">
        <f t="shared" si="478"/>
        <v>4673.37</v>
      </c>
      <c r="AC371" s="183">
        <f t="shared" si="478"/>
        <v>5326.63</v>
      </c>
      <c r="AD371" s="183">
        <f t="shared" si="478"/>
        <v>10000</v>
      </c>
      <c r="AE371" s="183">
        <f t="shared" si="478"/>
        <v>10000</v>
      </c>
      <c r="AF371" s="183">
        <f t="shared" si="478"/>
        <v>5326.63</v>
      </c>
      <c r="AG371" s="183">
        <f>SUM(AG370:AG370)</f>
        <v>3550</v>
      </c>
      <c r="AH371" s="183">
        <f t="shared" si="478"/>
        <v>1123.3699999999999</v>
      </c>
      <c r="AI371" s="183">
        <f t="shared" si="478"/>
        <v>0</v>
      </c>
      <c r="AJ371" s="183">
        <f t="shared" si="478"/>
        <v>3386.5</v>
      </c>
      <c r="AK371" s="183">
        <f t="shared" si="478"/>
        <v>0</v>
      </c>
      <c r="AL371" s="183">
        <f t="shared" si="478"/>
        <v>3894.4749999999999</v>
      </c>
      <c r="AM371" s="183">
        <f t="shared" si="478"/>
        <v>0</v>
      </c>
      <c r="AN371" s="183">
        <f t="shared" si="478"/>
        <v>507.97499999999991</v>
      </c>
      <c r="AO371" s="183">
        <f t="shared" si="478"/>
        <v>0</v>
      </c>
      <c r="AP371" s="183">
        <f t="shared" si="478"/>
        <v>778.89499999999998</v>
      </c>
      <c r="AQ371" s="183">
        <f t="shared" si="478"/>
        <v>0</v>
      </c>
      <c r="AR371" s="183">
        <f t="shared" si="478"/>
        <v>0</v>
      </c>
      <c r="AS371" s="183">
        <f t="shared" si="478"/>
        <v>0</v>
      </c>
      <c r="AT371" s="183">
        <f t="shared" si="478"/>
        <v>0</v>
      </c>
      <c r="AU371" s="183">
        <f t="shared" si="478"/>
        <v>3894.4749999999999</v>
      </c>
      <c r="AV371" s="183">
        <f t="shared" si="478"/>
        <v>0</v>
      </c>
      <c r="AW371" s="183">
        <f t="shared" si="478"/>
        <v>3894.4749999999999</v>
      </c>
      <c r="AX371" s="251"/>
      <c r="AY371" s="840"/>
      <c r="AZ371" s="838"/>
      <c r="BA371" s="840"/>
    </row>
    <row r="372" spans="2:53" s="76" customFormat="1" ht="34.5">
      <c r="B372" s="703"/>
      <c r="C372" s="220" t="s">
        <v>1581</v>
      </c>
      <c r="D372" s="192"/>
      <c r="E372" s="193"/>
      <c r="F372" s="193"/>
      <c r="G372" s="193"/>
      <c r="H372" s="731"/>
      <c r="I372" s="193"/>
      <c r="J372" s="731"/>
      <c r="K372" s="193"/>
      <c r="L372" s="193"/>
      <c r="M372" s="731"/>
      <c r="N372" s="193"/>
      <c r="O372" s="731"/>
      <c r="P372" s="193"/>
      <c r="Q372" s="193"/>
      <c r="R372" s="193"/>
      <c r="S372" s="193"/>
      <c r="T372" s="193"/>
      <c r="U372" s="193"/>
      <c r="V372" s="732"/>
      <c r="W372" s="193"/>
      <c r="X372" s="732"/>
      <c r="Y372" s="732"/>
      <c r="Z372" s="193"/>
      <c r="AA372" s="193"/>
      <c r="AB372" s="193"/>
      <c r="AC372" s="195"/>
      <c r="AD372" s="195"/>
      <c r="AE372" s="195"/>
      <c r="AF372" s="195"/>
      <c r="AG372" s="195"/>
      <c r="AH372" s="195"/>
      <c r="AI372" s="203"/>
      <c r="AJ372" s="203"/>
      <c r="AK372" s="203"/>
      <c r="AL372" s="203"/>
      <c r="AM372" s="203"/>
      <c r="AN372" s="203"/>
      <c r="AO372" s="205"/>
      <c r="AP372" s="205"/>
      <c r="AQ372" s="205"/>
      <c r="AR372" s="205"/>
      <c r="AS372" s="205"/>
      <c r="AT372" s="209"/>
      <c r="AU372" s="209"/>
      <c r="AV372" s="203"/>
      <c r="AW372" s="251"/>
      <c r="AX372" s="251"/>
      <c r="AY372" s="840"/>
      <c r="AZ372" s="838"/>
      <c r="BA372" s="840"/>
    </row>
    <row r="373" spans="2:53" s="76" customFormat="1" ht="34.5">
      <c r="B373" s="703">
        <f>B370+1</f>
        <v>248</v>
      </c>
      <c r="C373" s="197" t="s">
        <v>1160</v>
      </c>
      <c r="D373" s="198" t="s">
        <v>1751</v>
      </c>
      <c r="E373" s="703" t="s">
        <v>1161</v>
      </c>
      <c r="F373" s="206">
        <v>6</v>
      </c>
      <c r="G373" s="199">
        <v>4633</v>
      </c>
      <c r="H373" s="736"/>
      <c r="I373" s="199"/>
      <c r="J373" s="736"/>
      <c r="K373" s="199"/>
      <c r="L373" s="199"/>
      <c r="M373" s="736"/>
      <c r="N373" s="199"/>
      <c r="O373" s="737">
        <v>0.15</v>
      </c>
      <c r="P373" s="204">
        <f>G373*O373</f>
        <v>694.94999999999993</v>
      </c>
      <c r="Q373" s="199"/>
      <c r="R373" s="199">
        <f>G373+I373+K373+L373+N373+P373+Q373</f>
        <v>5327.95</v>
      </c>
      <c r="S373" s="199">
        <v>1</v>
      </c>
      <c r="T373" s="206"/>
      <c r="U373" s="206"/>
      <c r="V373" s="741"/>
      <c r="W373" s="206"/>
      <c r="X373" s="718">
        <v>23</v>
      </c>
      <c r="Y373" s="737">
        <v>0.3</v>
      </c>
      <c r="Z373" s="199">
        <f>R373*Y373</f>
        <v>1598.385</v>
      </c>
      <c r="AA373" s="199">
        <f>AH373</f>
        <v>173.66500000000019</v>
      </c>
      <c r="AB373" s="199">
        <f>(R373+Z373)*S373+AA373</f>
        <v>7100</v>
      </c>
      <c r="AC373" s="738">
        <f>AF373</f>
        <v>6400</v>
      </c>
      <c r="AD373" s="738">
        <f>AB373+AC373</f>
        <v>13500</v>
      </c>
      <c r="AE373" s="202">
        <f>13500*S373</f>
        <v>13500</v>
      </c>
      <c r="AF373" s="202">
        <f>AE373-AB373</f>
        <v>6400</v>
      </c>
      <c r="AG373" s="738">
        <f>7100*S373</f>
        <v>7100</v>
      </c>
      <c r="AH373" s="202">
        <f>AG373-(R373*S373)-Z373</f>
        <v>173.66500000000019</v>
      </c>
      <c r="AI373" s="203">
        <f>G373*S373</f>
        <v>4633</v>
      </c>
      <c r="AJ373" s="203">
        <f>G373*T373</f>
        <v>0</v>
      </c>
      <c r="AK373" s="203">
        <f>R373*S373</f>
        <v>5327.95</v>
      </c>
      <c r="AL373" s="203">
        <f>R373*T373</f>
        <v>0</v>
      </c>
      <c r="AM373" s="203">
        <f t="shared" ref="AM373:AN376" si="479">AK373-AI373</f>
        <v>694.94999999999982</v>
      </c>
      <c r="AN373" s="203">
        <f t="shared" si="479"/>
        <v>0</v>
      </c>
      <c r="AO373" s="205">
        <f>Z373*S373</f>
        <v>1598.385</v>
      </c>
      <c r="AP373" s="205">
        <f>Z373*T373</f>
        <v>0</v>
      </c>
      <c r="AQ373" s="205">
        <f>AA373</f>
        <v>173.66500000000019</v>
      </c>
      <c r="AR373" s="205">
        <f>W373*S373</f>
        <v>0</v>
      </c>
      <c r="AS373" s="205">
        <f>W373*T373</f>
        <v>0</v>
      </c>
      <c r="AT373" s="209">
        <f t="shared" si="454"/>
        <v>5327.95</v>
      </c>
      <c r="AU373" s="209">
        <f t="shared" si="454"/>
        <v>0</v>
      </c>
      <c r="AV373" s="203"/>
      <c r="AW373" s="251">
        <f>R373*S373</f>
        <v>5327.95</v>
      </c>
      <c r="AX373" s="251"/>
      <c r="AY373" s="838">
        <f>AW373</f>
        <v>5327.95</v>
      </c>
      <c r="AZ373" s="838"/>
      <c r="BA373" s="840"/>
    </row>
    <row r="374" spans="2:53" s="76" customFormat="1" ht="58.5">
      <c r="B374" s="703">
        <f>1+B373</f>
        <v>249</v>
      </c>
      <c r="C374" s="197" t="s">
        <v>1160</v>
      </c>
      <c r="D374" s="198" t="s">
        <v>1374</v>
      </c>
      <c r="E374" s="703" t="s">
        <v>1162</v>
      </c>
      <c r="F374" s="206">
        <v>9</v>
      </c>
      <c r="G374" s="199">
        <v>5527</v>
      </c>
      <c r="H374" s="736"/>
      <c r="I374" s="199"/>
      <c r="J374" s="736"/>
      <c r="K374" s="199"/>
      <c r="L374" s="199"/>
      <c r="M374" s="736"/>
      <c r="N374" s="199"/>
      <c r="O374" s="737">
        <v>0.15</v>
      </c>
      <c r="P374" s="204">
        <f>G374*O374</f>
        <v>829.05</v>
      </c>
      <c r="Q374" s="199"/>
      <c r="R374" s="199">
        <f>G374+I374+K374+L374+N374+P374+Q374</f>
        <v>6356.05</v>
      </c>
      <c r="S374" s="199">
        <v>1</v>
      </c>
      <c r="T374" s="199"/>
      <c r="U374" s="199"/>
      <c r="V374" s="736"/>
      <c r="W374" s="199"/>
      <c r="X374" s="718">
        <v>45</v>
      </c>
      <c r="Y374" s="737">
        <v>0.3</v>
      </c>
      <c r="Z374" s="199">
        <f>R374*Y374</f>
        <v>1906.8150000000001</v>
      </c>
      <c r="AA374" s="199"/>
      <c r="AB374" s="199">
        <f>(R374+Z374)*S374</f>
        <v>8262.8649999999998</v>
      </c>
      <c r="AC374" s="738">
        <f>AF374</f>
        <v>5237.1350000000002</v>
      </c>
      <c r="AD374" s="738">
        <f>AB374+AC374</f>
        <v>13500</v>
      </c>
      <c r="AE374" s="202">
        <f>13500*S374</f>
        <v>13500</v>
      </c>
      <c r="AF374" s="202">
        <f>AE374-AB374</f>
        <v>5237.1350000000002</v>
      </c>
      <c r="AG374" s="738">
        <f>7100*S374</f>
        <v>7100</v>
      </c>
      <c r="AH374" s="202"/>
      <c r="AI374" s="203">
        <f>G374*S374</f>
        <v>5527</v>
      </c>
      <c r="AJ374" s="203">
        <f>G374*T374</f>
        <v>0</v>
      </c>
      <c r="AK374" s="203">
        <f>R374*S374</f>
        <v>6356.05</v>
      </c>
      <c r="AL374" s="203">
        <f>R374*T374</f>
        <v>0</v>
      </c>
      <c r="AM374" s="203">
        <f t="shared" si="479"/>
        <v>829.05000000000018</v>
      </c>
      <c r="AN374" s="203">
        <f t="shared" si="479"/>
        <v>0</v>
      </c>
      <c r="AO374" s="205">
        <f>Z374*S374</f>
        <v>1906.8150000000001</v>
      </c>
      <c r="AP374" s="205">
        <f>Z374*T374</f>
        <v>0</v>
      </c>
      <c r="AQ374" s="205">
        <f>AA374</f>
        <v>0</v>
      </c>
      <c r="AR374" s="205">
        <f>W374*S374</f>
        <v>0</v>
      </c>
      <c r="AS374" s="205">
        <f>W374*T374</f>
        <v>0</v>
      </c>
      <c r="AT374" s="209">
        <f t="shared" si="454"/>
        <v>6356.05</v>
      </c>
      <c r="AU374" s="209">
        <f t="shared" si="454"/>
        <v>0</v>
      </c>
      <c r="AV374" s="203"/>
      <c r="AW374" s="251">
        <f>R374*S374</f>
        <v>6356.05</v>
      </c>
      <c r="AX374" s="251"/>
      <c r="AY374" s="838">
        <f>AW374</f>
        <v>6356.05</v>
      </c>
      <c r="AZ374" s="838"/>
      <c r="BA374" s="840"/>
    </row>
    <row r="375" spans="2:53" s="76" customFormat="1" ht="58.5">
      <c r="B375" s="703">
        <f>1+B374</f>
        <v>250</v>
      </c>
      <c r="C375" s="197" t="s">
        <v>1160</v>
      </c>
      <c r="D375" s="198" t="s">
        <v>1374</v>
      </c>
      <c r="E375" s="703" t="s">
        <v>1163</v>
      </c>
      <c r="F375" s="703">
        <v>9</v>
      </c>
      <c r="G375" s="199">
        <v>5527</v>
      </c>
      <c r="H375" s="736"/>
      <c r="I375" s="199"/>
      <c r="J375" s="736"/>
      <c r="K375" s="199"/>
      <c r="L375" s="199"/>
      <c r="M375" s="736"/>
      <c r="N375" s="199"/>
      <c r="O375" s="737">
        <v>0.15</v>
      </c>
      <c r="P375" s="204">
        <f>G375*O375</f>
        <v>829.05</v>
      </c>
      <c r="Q375" s="199"/>
      <c r="R375" s="199">
        <f>G375+I375+K375+L375+N375+P375+Q375</f>
        <v>6356.05</v>
      </c>
      <c r="S375" s="199">
        <v>1</v>
      </c>
      <c r="T375" s="199"/>
      <c r="U375" s="199"/>
      <c r="V375" s="736"/>
      <c r="W375" s="199"/>
      <c r="X375" s="718">
        <v>30</v>
      </c>
      <c r="Y375" s="737">
        <v>0.3</v>
      </c>
      <c r="Z375" s="199">
        <f>R375*Y375</f>
        <v>1906.8150000000001</v>
      </c>
      <c r="AA375" s="199"/>
      <c r="AB375" s="199">
        <f>(R375+Z375)*S375</f>
        <v>8262.8649999999998</v>
      </c>
      <c r="AC375" s="738">
        <f>AF375</f>
        <v>5237.1350000000002</v>
      </c>
      <c r="AD375" s="738">
        <f>AB375+AC375</f>
        <v>13500</v>
      </c>
      <c r="AE375" s="202">
        <f>13500*S375</f>
        <v>13500</v>
      </c>
      <c r="AF375" s="202">
        <f>AE375-AB375</f>
        <v>5237.1350000000002</v>
      </c>
      <c r="AG375" s="738">
        <f>7100*S375</f>
        <v>7100</v>
      </c>
      <c r="AH375" s="202"/>
      <c r="AI375" s="203">
        <f>G375*S375</f>
        <v>5527</v>
      </c>
      <c r="AJ375" s="203">
        <f>G375*T375</f>
        <v>0</v>
      </c>
      <c r="AK375" s="203">
        <f>R375*S375</f>
        <v>6356.05</v>
      </c>
      <c r="AL375" s="203">
        <f>R375*T375</f>
        <v>0</v>
      </c>
      <c r="AM375" s="203">
        <f t="shared" si="479"/>
        <v>829.05000000000018</v>
      </c>
      <c r="AN375" s="203">
        <f t="shared" si="479"/>
        <v>0</v>
      </c>
      <c r="AO375" s="205">
        <f>Z375*S375</f>
        <v>1906.8150000000001</v>
      </c>
      <c r="AP375" s="205">
        <f>Z375*T375</f>
        <v>0</v>
      </c>
      <c r="AQ375" s="205">
        <f>AA375</f>
        <v>0</v>
      </c>
      <c r="AR375" s="205">
        <f>W375*S375</f>
        <v>0</v>
      </c>
      <c r="AS375" s="205">
        <f>W375*T375</f>
        <v>0</v>
      </c>
      <c r="AT375" s="209">
        <f t="shared" si="454"/>
        <v>6356.05</v>
      </c>
      <c r="AU375" s="209">
        <f t="shared" si="454"/>
        <v>0</v>
      </c>
      <c r="AV375" s="203"/>
      <c r="AW375" s="251">
        <f>R375*S375</f>
        <v>6356.05</v>
      </c>
      <c r="AX375" s="251"/>
      <c r="AY375" s="838">
        <f>AW375</f>
        <v>6356.05</v>
      </c>
      <c r="AZ375" s="838"/>
      <c r="BA375" s="840"/>
    </row>
    <row r="376" spans="2:53" s="76" customFormat="1" ht="58.5">
      <c r="B376" s="703">
        <f>1+B375</f>
        <v>251</v>
      </c>
      <c r="C376" s="197" t="s">
        <v>1160</v>
      </c>
      <c r="D376" s="198" t="s">
        <v>1375</v>
      </c>
      <c r="E376" s="703" t="s">
        <v>1164</v>
      </c>
      <c r="F376" s="206">
        <v>9</v>
      </c>
      <c r="G376" s="199">
        <v>5527</v>
      </c>
      <c r="H376" s="736"/>
      <c r="I376" s="199"/>
      <c r="J376" s="736"/>
      <c r="K376" s="199"/>
      <c r="L376" s="199"/>
      <c r="M376" s="736"/>
      <c r="N376" s="199"/>
      <c r="O376" s="737">
        <v>0.15</v>
      </c>
      <c r="P376" s="204">
        <f>G376*O376</f>
        <v>829.05</v>
      </c>
      <c r="Q376" s="199"/>
      <c r="R376" s="199">
        <f>G376+I376+K376+L376+N376+P376+Q376</f>
        <v>6356.05</v>
      </c>
      <c r="S376" s="199">
        <v>1</v>
      </c>
      <c r="T376" s="199"/>
      <c r="U376" s="199"/>
      <c r="V376" s="736"/>
      <c r="W376" s="199"/>
      <c r="X376" s="718">
        <v>23</v>
      </c>
      <c r="Y376" s="737">
        <v>0.3</v>
      </c>
      <c r="Z376" s="199">
        <f>R376*Y376</f>
        <v>1906.8150000000001</v>
      </c>
      <c r="AA376" s="199"/>
      <c r="AB376" s="199">
        <f>(R376+Z376)*S376</f>
        <v>8262.8649999999998</v>
      </c>
      <c r="AC376" s="738">
        <f>AF376</f>
        <v>5237.1350000000002</v>
      </c>
      <c r="AD376" s="738">
        <f>AB376+AC376</f>
        <v>13500</v>
      </c>
      <c r="AE376" s="202">
        <f>13500*S376</f>
        <v>13500</v>
      </c>
      <c r="AF376" s="202">
        <f>AE376-AB376</f>
        <v>5237.1350000000002</v>
      </c>
      <c r="AG376" s="738">
        <f>7100*S376</f>
        <v>7100</v>
      </c>
      <c r="AH376" s="202"/>
      <c r="AI376" s="203">
        <f>G376*S376</f>
        <v>5527</v>
      </c>
      <c r="AJ376" s="203">
        <f>G376*T376</f>
        <v>0</v>
      </c>
      <c r="AK376" s="203">
        <f>R376*S376</f>
        <v>6356.05</v>
      </c>
      <c r="AL376" s="203">
        <f>R376*T376</f>
        <v>0</v>
      </c>
      <c r="AM376" s="203">
        <f t="shared" si="479"/>
        <v>829.05000000000018</v>
      </c>
      <c r="AN376" s="203">
        <f t="shared" si="479"/>
        <v>0</v>
      </c>
      <c r="AO376" s="205">
        <f>Z376*S376</f>
        <v>1906.8150000000001</v>
      </c>
      <c r="AP376" s="205">
        <f>Z376*T376</f>
        <v>0</v>
      </c>
      <c r="AQ376" s="205">
        <f>AA376</f>
        <v>0</v>
      </c>
      <c r="AR376" s="205">
        <f>W376*S376</f>
        <v>0</v>
      </c>
      <c r="AS376" s="205">
        <f>W376*T376</f>
        <v>0</v>
      </c>
      <c r="AT376" s="209">
        <f t="shared" si="454"/>
        <v>6356.05</v>
      </c>
      <c r="AU376" s="209">
        <f t="shared" si="454"/>
        <v>0</v>
      </c>
      <c r="AV376" s="203"/>
      <c r="AW376" s="251">
        <f>R376*S376</f>
        <v>6356.05</v>
      </c>
      <c r="AX376" s="251"/>
      <c r="AY376" s="838">
        <f>AW376</f>
        <v>6356.05</v>
      </c>
      <c r="AZ376" s="838"/>
      <c r="BA376" s="840"/>
    </row>
    <row r="377" spans="2:53" s="76" customFormat="1" ht="34.5">
      <c r="B377" s="703"/>
      <c r="C377" s="180" t="s">
        <v>1736</v>
      </c>
      <c r="D377" s="207"/>
      <c r="E377" s="193"/>
      <c r="F377" s="193"/>
      <c r="G377" s="183">
        <f>SUM(G373:G376)</f>
        <v>21214</v>
      </c>
      <c r="H377" s="731"/>
      <c r="I377" s="193"/>
      <c r="J377" s="731"/>
      <c r="K377" s="193"/>
      <c r="L377" s="193"/>
      <c r="M377" s="731"/>
      <c r="N377" s="193"/>
      <c r="O377" s="731"/>
      <c r="P377" s="183">
        <f>SUM(P373:P376)</f>
        <v>3182.1000000000004</v>
      </c>
      <c r="Q377" s="193"/>
      <c r="R377" s="183">
        <f>SUM(R373:R376)</f>
        <v>24396.1</v>
      </c>
      <c r="S377" s="183">
        <f>SUM(S373:S376)</f>
        <v>4</v>
      </c>
      <c r="T377" s="183">
        <f>SUM(T373:T376)</f>
        <v>0</v>
      </c>
      <c r="U377" s="183"/>
      <c r="V377" s="742"/>
      <c r="W377" s="183"/>
      <c r="X377" s="742"/>
      <c r="Y377" s="742"/>
      <c r="Z377" s="183">
        <f>SUM(Z373:Z376)</f>
        <v>7318.83</v>
      </c>
      <c r="AA377" s="183">
        <f>SUM(AA373:AA376)</f>
        <v>173.66500000000019</v>
      </c>
      <c r="AB377" s="183">
        <f>SUM(AB373:AB376)</f>
        <v>31888.595000000001</v>
      </c>
      <c r="AC377" s="183">
        <f t="shared" ref="AC377:AV377" si="480">SUM(AC373:AC376)</f>
        <v>22111.404999999999</v>
      </c>
      <c r="AD377" s="183">
        <f>SUM(AD373:AD376)</f>
        <v>54000</v>
      </c>
      <c r="AE377" s="183">
        <f t="shared" si="480"/>
        <v>54000</v>
      </c>
      <c r="AF377" s="183">
        <f t="shared" si="480"/>
        <v>22111.404999999999</v>
      </c>
      <c r="AG377" s="183">
        <f t="shared" si="480"/>
        <v>28400</v>
      </c>
      <c r="AH377" s="183">
        <f t="shared" si="480"/>
        <v>173.66500000000019</v>
      </c>
      <c r="AI377" s="183">
        <f t="shared" si="480"/>
        <v>21214</v>
      </c>
      <c r="AJ377" s="183">
        <f t="shared" si="480"/>
        <v>0</v>
      </c>
      <c r="AK377" s="183">
        <f t="shared" si="480"/>
        <v>24396.1</v>
      </c>
      <c r="AL377" s="183">
        <f t="shared" si="480"/>
        <v>0</v>
      </c>
      <c r="AM377" s="183">
        <f t="shared" si="480"/>
        <v>3182.1000000000004</v>
      </c>
      <c r="AN377" s="183">
        <f t="shared" si="480"/>
        <v>0</v>
      </c>
      <c r="AO377" s="183">
        <f t="shared" si="480"/>
        <v>7318.83</v>
      </c>
      <c r="AP377" s="183">
        <f t="shared" si="480"/>
        <v>0</v>
      </c>
      <c r="AQ377" s="183">
        <f t="shared" si="480"/>
        <v>173.66500000000019</v>
      </c>
      <c r="AR377" s="183">
        <f t="shared" si="480"/>
        <v>0</v>
      </c>
      <c r="AS377" s="183">
        <f t="shared" si="480"/>
        <v>0</v>
      </c>
      <c r="AT377" s="183">
        <f t="shared" si="480"/>
        <v>24396.1</v>
      </c>
      <c r="AU377" s="183">
        <f t="shared" si="480"/>
        <v>0</v>
      </c>
      <c r="AV377" s="183">
        <f t="shared" si="480"/>
        <v>0</v>
      </c>
      <c r="AW377" s="183">
        <f>SUM(AW373:AW376)</f>
        <v>24396.1</v>
      </c>
      <c r="AX377" s="251"/>
      <c r="AY377" s="840"/>
      <c r="AZ377" s="838"/>
      <c r="BA377" s="840"/>
    </row>
    <row r="378" spans="2:53" s="76" customFormat="1" ht="34.5">
      <c r="B378" s="703"/>
      <c r="C378" s="180" t="s">
        <v>1278</v>
      </c>
      <c r="D378" s="207"/>
      <c r="E378" s="193"/>
      <c r="F378" s="193"/>
      <c r="G378" s="183">
        <f>G371+G377</f>
        <v>27987</v>
      </c>
      <c r="H378" s="742"/>
      <c r="I378" s="183"/>
      <c r="J378" s="742"/>
      <c r="K378" s="183"/>
      <c r="L378" s="183"/>
      <c r="M378" s="742"/>
      <c r="N378" s="183"/>
      <c r="O378" s="742"/>
      <c r="P378" s="183">
        <f t="shared" ref="P378:AA378" si="481">P371+P377</f>
        <v>4198.05</v>
      </c>
      <c r="Q378" s="183">
        <f t="shared" si="481"/>
        <v>0</v>
      </c>
      <c r="R378" s="183">
        <f t="shared" si="481"/>
        <v>32185.05</v>
      </c>
      <c r="S378" s="183">
        <f t="shared" si="481"/>
        <v>4</v>
      </c>
      <c r="T378" s="183">
        <f t="shared" si="481"/>
        <v>0.5</v>
      </c>
      <c r="U378" s="183"/>
      <c r="V378" s="742"/>
      <c r="W378" s="183"/>
      <c r="X378" s="742"/>
      <c r="Y378" s="742"/>
      <c r="Z378" s="183">
        <f t="shared" si="481"/>
        <v>8876.619999999999</v>
      </c>
      <c r="AA378" s="183">
        <f t="shared" si="481"/>
        <v>173.66500000000019</v>
      </c>
      <c r="AB378" s="183">
        <f>AB371+AB377</f>
        <v>36561.965000000004</v>
      </c>
      <c r="AC378" s="183">
        <f t="shared" ref="AC378:AW378" si="482">AC371+AC377</f>
        <v>27438.035</v>
      </c>
      <c r="AD378" s="183">
        <f>AD371+AD377</f>
        <v>64000</v>
      </c>
      <c r="AE378" s="183">
        <f t="shared" si="482"/>
        <v>64000</v>
      </c>
      <c r="AF378" s="183">
        <f t="shared" si="482"/>
        <v>27438.035</v>
      </c>
      <c r="AG378" s="183">
        <f t="shared" si="482"/>
        <v>31950</v>
      </c>
      <c r="AH378" s="183">
        <f t="shared" si="482"/>
        <v>1297.0350000000001</v>
      </c>
      <c r="AI378" s="183">
        <f t="shared" si="482"/>
        <v>21214</v>
      </c>
      <c r="AJ378" s="183">
        <f t="shared" si="482"/>
        <v>3386.5</v>
      </c>
      <c r="AK378" s="183">
        <f t="shared" si="482"/>
        <v>24396.1</v>
      </c>
      <c r="AL378" s="183">
        <f t="shared" si="482"/>
        <v>3894.4749999999999</v>
      </c>
      <c r="AM378" s="183">
        <f t="shared" si="482"/>
        <v>3182.1000000000004</v>
      </c>
      <c r="AN378" s="183">
        <f t="shared" si="482"/>
        <v>507.97499999999991</v>
      </c>
      <c r="AO378" s="183">
        <f t="shared" si="482"/>
        <v>7318.83</v>
      </c>
      <c r="AP378" s="183">
        <f t="shared" si="482"/>
        <v>778.89499999999998</v>
      </c>
      <c r="AQ378" s="183">
        <f t="shared" si="482"/>
        <v>173.66500000000019</v>
      </c>
      <c r="AR378" s="183">
        <f t="shared" si="482"/>
        <v>0</v>
      </c>
      <c r="AS378" s="183">
        <f t="shared" si="482"/>
        <v>0</v>
      </c>
      <c r="AT378" s="183">
        <f t="shared" si="482"/>
        <v>24396.1</v>
      </c>
      <c r="AU378" s="183">
        <f t="shared" si="482"/>
        <v>3894.4749999999999</v>
      </c>
      <c r="AV378" s="183">
        <f t="shared" si="482"/>
        <v>0</v>
      </c>
      <c r="AW378" s="183">
        <f t="shared" si="482"/>
        <v>28290.574999999997</v>
      </c>
      <c r="AX378" s="251"/>
      <c r="AY378" s="840"/>
      <c r="AZ378" s="838"/>
      <c r="BA378" s="840"/>
    </row>
    <row r="379" spans="2:53" s="76" customFormat="1" ht="61.5">
      <c r="B379" s="703"/>
      <c r="C379" s="191" t="s">
        <v>1054</v>
      </c>
      <c r="D379" s="192"/>
      <c r="E379" s="193"/>
      <c r="F379" s="193"/>
      <c r="G379" s="193"/>
      <c r="H379" s="731"/>
      <c r="I379" s="193"/>
      <c r="J379" s="731"/>
      <c r="K379" s="193"/>
      <c r="L379" s="193"/>
      <c r="M379" s="731"/>
      <c r="N379" s="193"/>
      <c r="O379" s="731"/>
      <c r="P379" s="193"/>
      <c r="Q379" s="193"/>
      <c r="R379" s="193"/>
      <c r="S379" s="193"/>
      <c r="T379" s="193"/>
      <c r="U379" s="193"/>
      <c r="V379" s="732"/>
      <c r="W379" s="193"/>
      <c r="X379" s="732"/>
      <c r="Y379" s="732"/>
      <c r="Z379" s="193"/>
      <c r="AA379" s="193"/>
      <c r="AB379" s="193"/>
      <c r="AC379" s="195"/>
      <c r="AD379" s="195"/>
      <c r="AE379" s="195"/>
      <c r="AF379" s="195"/>
      <c r="AG379" s="195"/>
      <c r="AH379" s="195"/>
      <c r="AI379" s="203"/>
      <c r="AJ379" s="203"/>
      <c r="AK379" s="203"/>
      <c r="AL379" s="203"/>
      <c r="AM379" s="203"/>
      <c r="AN379" s="203"/>
      <c r="AO379" s="205"/>
      <c r="AP379" s="205"/>
      <c r="AQ379" s="205"/>
      <c r="AR379" s="205"/>
      <c r="AS379" s="205"/>
      <c r="AT379" s="209"/>
      <c r="AU379" s="209"/>
      <c r="AV379" s="203"/>
      <c r="AW379" s="251"/>
      <c r="AX379" s="251"/>
      <c r="AY379" s="840"/>
      <c r="AZ379" s="838"/>
      <c r="BA379" s="840"/>
    </row>
    <row r="380" spans="2:53" s="76" customFormat="1" ht="34.5">
      <c r="B380" s="703"/>
      <c r="C380" s="220" t="s">
        <v>1382</v>
      </c>
      <c r="D380" s="217"/>
      <c r="E380" s="218"/>
      <c r="F380" s="218"/>
      <c r="G380" s="218"/>
      <c r="H380" s="745"/>
      <c r="I380" s="218"/>
      <c r="J380" s="745"/>
      <c r="K380" s="218"/>
      <c r="L380" s="218"/>
      <c r="M380" s="745"/>
      <c r="N380" s="218"/>
      <c r="O380" s="745"/>
      <c r="P380" s="218"/>
      <c r="Q380" s="218"/>
      <c r="R380" s="218"/>
      <c r="S380" s="218"/>
      <c r="T380" s="218"/>
      <c r="U380" s="218"/>
      <c r="V380" s="746"/>
      <c r="W380" s="218"/>
      <c r="X380" s="746"/>
      <c r="Y380" s="746"/>
      <c r="Z380" s="218"/>
      <c r="AA380" s="218"/>
      <c r="AB380" s="218"/>
      <c r="AC380" s="219"/>
      <c r="AD380" s="219"/>
      <c r="AE380" s="219"/>
      <c r="AF380" s="219"/>
      <c r="AG380" s="219"/>
      <c r="AH380" s="219"/>
      <c r="AI380" s="203"/>
      <c r="AJ380" s="203"/>
      <c r="AK380" s="203"/>
      <c r="AL380" s="203"/>
      <c r="AM380" s="203"/>
      <c r="AN380" s="203"/>
      <c r="AO380" s="205"/>
      <c r="AP380" s="205"/>
      <c r="AQ380" s="205"/>
      <c r="AR380" s="205"/>
      <c r="AS380" s="205"/>
      <c r="AT380" s="209"/>
      <c r="AU380" s="209"/>
      <c r="AV380" s="203"/>
      <c r="AW380" s="251"/>
      <c r="AX380" s="251"/>
      <c r="AY380" s="840"/>
      <c r="AZ380" s="838"/>
      <c r="BA380" s="841"/>
    </row>
    <row r="381" spans="2:53" s="78" customFormat="1" ht="63">
      <c r="B381" s="703">
        <f>B376+1</f>
        <v>252</v>
      </c>
      <c r="C381" s="197" t="s">
        <v>1055</v>
      </c>
      <c r="D381" s="198" t="s">
        <v>1360</v>
      </c>
      <c r="E381" s="703" t="s">
        <v>1056</v>
      </c>
      <c r="F381" s="703">
        <v>13</v>
      </c>
      <c r="G381" s="199">
        <v>7253</v>
      </c>
      <c r="H381" s="737">
        <v>0.1</v>
      </c>
      <c r="I381" s="703">
        <f>G381*H381</f>
        <v>725.30000000000007</v>
      </c>
      <c r="J381" s="718"/>
      <c r="K381" s="703"/>
      <c r="L381" s="703"/>
      <c r="M381" s="718"/>
      <c r="N381" s="222"/>
      <c r="O381" s="737">
        <v>0.15</v>
      </c>
      <c r="P381" s="204">
        <f>(G381+I381)*O381</f>
        <v>1196.7449999999999</v>
      </c>
      <c r="Q381" s="201"/>
      <c r="R381" s="199">
        <f>G381+I381+K381+L381+N381+P381+Q381</f>
        <v>9175.0450000000001</v>
      </c>
      <c r="S381" s="199">
        <v>1</v>
      </c>
      <c r="T381" s="703"/>
      <c r="U381" s="703"/>
      <c r="V381" s="718"/>
      <c r="W381" s="703"/>
      <c r="X381" s="718">
        <v>33</v>
      </c>
      <c r="Y381" s="737">
        <v>0.3</v>
      </c>
      <c r="Z381" s="199">
        <f>R381*Y381</f>
        <v>2752.5135</v>
      </c>
      <c r="AA381" s="199"/>
      <c r="AB381" s="199">
        <f>(R381+Z381)*S381</f>
        <v>11927.558499999999</v>
      </c>
      <c r="AC381" s="738">
        <f>AF381</f>
        <v>8072.4415000000008</v>
      </c>
      <c r="AD381" s="738">
        <f>AB381+AC381</f>
        <v>20000</v>
      </c>
      <c r="AE381" s="202">
        <f>20000*S381</f>
        <v>20000</v>
      </c>
      <c r="AF381" s="202">
        <f>AE381-AB381</f>
        <v>8072.4415000000008</v>
      </c>
      <c r="AG381" s="738">
        <f>7100*S381</f>
        <v>7100</v>
      </c>
      <c r="AH381" s="202">
        <f>AB381-AG381</f>
        <v>4827.5584999999992</v>
      </c>
      <c r="AI381" s="203">
        <f>G381*S381</f>
        <v>7253</v>
      </c>
      <c r="AJ381" s="203">
        <f>G381*T381</f>
        <v>0</v>
      </c>
      <c r="AK381" s="203">
        <f>R381*S381</f>
        <v>9175.0450000000001</v>
      </c>
      <c r="AL381" s="203">
        <f>R381*T381</f>
        <v>0</v>
      </c>
      <c r="AM381" s="203">
        <f>AK381-AI381</f>
        <v>1922.0450000000001</v>
      </c>
      <c r="AN381" s="203">
        <f>AL381-AJ381</f>
        <v>0</v>
      </c>
      <c r="AO381" s="205">
        <f>Z381*S381</f>
        <v>2752.5135</v>
      </c>
      <c r="AP381" s="205">
        <f>Z381*T381</f>
        <v>0</v>
      </c>
      <c r="AQ381" s="205">
        <f>AA381</f>
        <v>0</v>
      </c>
      <c r="AR381" s="205">
        <f>W381*S381</f>
        <v>0</v>
      </c>
      <c r="AS381" s="205">
        <f>W381*T381</f>
        <v>0</v>
      </c>
      <c r="AT381" s="209">
        <f t="shared" si="454"/>
        <v>9175.0450000000001</v>
      </c>
      <c r="AU381" s="209">
        <f t="shared" si="454"/>
        <v>0</v>
      </c>
      <c r="AV381" s="203"/>
      <c r="AW381" s="251">
        <f>R381*S381</f>
        <v>9175.0450000000001</v>
      </c>
      <c r="AX381" s="251"/>
      <c r="AY381" s="838">
        <f>AW381</f>
        <v>9175.0450000000001</v>
      </c>
      <c r="AZ381" s="838"/>
      <c r="BA381" s="842"/>
    </row>
    <row r="382" spans="2:53" s="78" customFormat="1">
      <c r="B382" s="703"/>
      <c r="C382" s="180" t="s">
        <v>1736</v>
      </c>
      <c r="D382" s="207"/>
      <c r="E382" s="193"/>
      <c r="F382" s="193"/>
      <c r="G382" s="183">
        <f>SUM(G381)</f>
        <v>7253</v>
      </c>
      <c r="H382" s="752"/>
      <c r="I382" s="183">
        <f>I381</f>
        <v>725.30000000000007</v>
      </c>
      <c r="J382" s="731"/>
      <c r="K382" s="193"/>
      <c r="L382" s="193"/>
      <c r="M382" s="731"/>
      <c r="N382" s="193"/>
      <c r="O382" s="731"/>
      <c r="P382" s="183">
        <f>P381</f>
        <v>1196.7449999999999</v>
      </c>
      <c r="Q382" s="193"/>
      <c r="R382" s="183">
        <f>SUM(R381)</f>
        <v>9175.0450000000001</v>
      </c>
      <c r="S382" s="183">
        <f>SUM(S381)</f>
        <v>1</v>
      </c>
      <c r="T382" s="183">
        <f>SUM(T381)</f>
        <v>0</v>
      </c>
      <c r="U382" s="183"/>
      <c r="V382" s="742"/>
      <c r="W382" s="183"/>
      <c r="X382" s="742"/>
      <c r="Y382" s="742"/>
      <c r="Z382" s="183">
        <f t="shared" ref="Z382:AW382" si="483">SUM(Z381)</f>
        <v>2752.5135</v>
      </c>
      <c r="AA382" s="183">
        <f t="shared" si="483"/>
        <v>0</v>
      </c>
      <c r="AB382" s="183">
        <f t="shared" si="483"/>
        <v>11927.558499999999</v>
      </c>
      <c r="AC382" s="183">
        <f t="shared" si="483"/>
        <v>8072.4415000000008</v>
      </c>
      <c r="AD382" s="183">
        <f>SUM(AD381)</f>
        <v>20000</v>
      </c>
      <c r="AE382" s="183">
        <f t="shared" si="483"/>
        <v>20000</v>
      </c>
      <c r="AF382" s="183">
        <f t="shared" si="483"/>
        <v>8072.4415000000008</v>
      </c>
      <c r="AG382" s="183">
        <f t="shared" si="483"/>
        <v>7100</v>
      </c>
      <c r="AH382" s="183">
        <f t="shared" si="483"/>
        <v>4827.5584999999992</v>
      </c>
      <c r="AI382" s="183">
        <f t="shared" si="483"/>
        <v>7253</v>
      </c>
      <c r="AJ382" s="183">
        <f t="shared" si="483"/>
        <v>0</v>
      </c>
      <c r="AK382" s="183">
        <f t="shared" si="483"/>
        <v>9175.0450000000001</v>
      </c>
      <c r="AL382" s="183">
        <f t="shared" si="483"/>
        <v>0</v>
      </c>
      <c r="AM382" s="183">
        <f t="shared" si="483"/>
        <v>1922.0450000000001</v>
      </c>
      <c r="AN382" s="183">
        <f t="shared" si="483"/>
        <v>0</v>
      </c>
      <c r="AO382" s="183">
        <f t="shared" si="483"/>
        <v>2752.5135</v>
      </c>
      <c r="AP382" s="183">
        <f t="shared" si="483"/>
        <v>0</v>
      </c>
      <c r="AQ382" s="183">
        <f t="shared" si="483"/>
        <v>0</v>
      </c>
      <c r="AR382" s="183">
        <f t="shared" si="483"/>
        <v>0</v>
      </c>
      <c r="AS382" s="183">
        <f t="shared" si="483"/>
        <v>0</v>
      </c>
      <c r="AT382" s="183">
        <f t="shared" si="483"/>
        <v>9175.0450000000001</v>
      </c>
      <c r="AU382" s="183">
        <f t="shared" si="483"/>
        <v>0</v>
      </c>
      <c r="AV382" s="183">
        <f t="shared" si="483"/>
        <v>0</v>
      </c>
      <c r="AW382" s="183">
        <f t="shared" si="483"/>
        <v>9175.0450000000001</v>
      </c>
      <c r="AX382" s="251"/>
      <c r="AY382" s="842"/>
      <c r="AZ382" s="838"/>
      <c r="BA382" s="842"/>
    </row>
    <row r="383" spans="2:53" s="76" customFormat="1" ht="34.5">
      <c r="B383" s="703"/>
      <c r="C383" s="220" t="s">
        <v>1581</v>
      </c>
      <c r="D383" s="192"/>
      <c r="E383" s="193"/>
      <c r="F383" s="193"/>
      <c r="G383" s="193"/>
      <c r="H383" s="731"/>
      <c r="I383" s="193"/>
      <c r="J383" s="731"/>
      <c r="K383" s="193"/>
      <c r="L383" s="193"/>
      <c r="M383" s="731"/>
      <c r="N383" s="193"/>
      <c r="O383" s="731"/>
      <c r="P383" s="193"/>
      <c r="Q383" s="193"/>
      <c r="R383" s="193"/>
      <c r="S383" s="193"/>
      <c r="T383" s="193"/>
      <c r="U383" s="193"/>
      <c r="V383" s="732"/>
      <c r="W383" s="193"/>
      <c r="X383" s="732"/>
      <c r="Y383" s="732"/>
      <c r="Z383" s="193"/>
      <c r="AA383" s="193"/>
      <c r="AB383" s="193"/>
      <c r="AC383" s="195"/>
      <c r="AD383" s="195"/>
      <c r="AE383" s="195"/>
      <c r="AF383" s="195"/>
      <c r="AG383" s="195"/>
      <c r="AH383" s="195"/>
      <c r="AI383" s="203"/>
      <c r="AJ383" s="203"/>
      <c r="AK383" s="203"/>
      <c r="AL383" s="203"/>
      <c r="AM383" s="203"/>
      <c r="AN383" s="203"/>
      <c r="AO383" s="205"/>
      <c r="AP383" s="205"/>
      <c r="AQ383" s="205"/>
      <c r="AR383" s="205"/>
      <c r="AS383" s="205"/>
      <c r="AT383" s="209"/>
      <c r="AU383" s="209"/>
      <c r="AV383" s="203"/>
      <c r="AW383" s="251"/>
      <c r="AX383" s="251"/>
      <c r="AY383" s="840"/>
      <c r="AZ383" s="838"/>
      <c r="BA383" s="840"/>
    </row>
    <row r="384" spans="2:53" s="78" customFormat="1" ht="63">
      <c r="B384" s="703">
        <f>B381+1</f>
        <v>253</v>
      </c>
      <c r="C384" s="197" t="s">
        <v>1165</v>
      </c>
      <c r="D384" s="198" t="s">
        <v>1367</v>
      </c>
      <c r="E384" s="703" t="s">
        <v>1810</v>
      </c>
      <c r="F384" s="703">
        <v>9</v>
      </c>
      <c r="G384" s="199">
        <v>5527</v>
      </c>
      <c r="H384" s="736"/>
      <c r="I384" s="199"/>
      <c r="J384" s="737"/>
      <c r="K384" s="201"/>
      <c r="L384" s="201"/>
      <c r="M384" s="736"/>
      <c r="N384" s="199"/>
      <c r="O384" s="737">
        <v>0.15</v>
      </c>
      <c r="P384" s="204">
        <f>G384*O384</f>
        <v>829.05</v>
      </c>
      <c r="Q384" s="206"/>
      <c r="R384" s="199">
        <f t="shared" ref="R384:R391" si="484">G384+I384+K384+L384+N384+P384+Q384</f>
        <v>6356.05</v>
      </c>
      <c r="S384" s="199">
        <v>1</v>
      </c>
      <c r="T384" s="199"/>
      <c r="U384" s="206"/>
      <c r="V384" s="741"/>
      <c r="W384" s="206"/>
      <c r="X384" s="718">
        <v>23</v>
      </c>
      <c r="Y384" s="737">
        <v>0.3</v>
      </c>
      <c r="Z384" s="199">
        <f t="shared" ref="Z384:Z391" si="485">R384*Y384</f>
        <v>1906.8150000000001</v>
      </c>
      <c r="AA384" s="199"/>
      <c r="AB384" s="199">
        <f>(R384+Z384)*S384+AA384</f>
        <v>8262.8649999999998</v>
      </c>
      <c r="AC384" s="738">
        <f t="shared" ref="AC384:AC391" si="486">AF384</f>
        <v>5237.1350000000002</v>
      </c>
      <c r="AD384" s="738">
        <f t="shared" ref="AD384:AD391" si="487">AB384+AC384</f>
        <v>13500</v>
      </c>
      <c r="AE384" s="202">
        <f t="shared" ref="AE384:AE391" si="488">13500*S384</f>
        <v>13500</v>
      </c>
      <c r="AF384" s="202">
        <f t="shared" ref="AF384:AF390" si="489">AE384-AB384</f>
        <v>5237.1350000000002</v>
      </c>
      <c r="AG384" s="738">
        <f>7100*S384</f>
        <v>7100</v>
      </c>
      <c r="AH384" s="202"/>
      <c r="AI384" s="203">
        <f t="shared" ref="AI384:AI391" si="490">G384*S384</f>
        <v>5527</v>
      </c>
      <c r="AJ384" s="203">
        <f t="shared" ref="AJ384:AJ391" si="491">G384*T384</f>
        <v>0</v>
      </c>
      <c r="AK384" s="203">
        <f t="shared" ref="AK384:AK391" si="492">R384*S384</f>
        <v>6356.05</v>
      </c>
      <c r="AL384" s="203">
        <f t="shared" ref="AL384:AL391" si="493">R384*T384</f>
        <v>0</v>
      </c>
      <c r="AM384" s="203">
        <f t="shared" ref="AM384:AN391" si="494">AK384-AI384</f>
        <v>829.05000000000018</v>
      </c>
      <c r="AN384" s="203">
        <f t="shared" si="494"/>
        <v>0</v>
      </c>
      <c r="AO384" s="205">
        <f t="shared" ref="AO384:AO391" si="495">Z384*S384</f>
        <v>1906.8150000000001</v>
      </c>
      <c r="AP384" s="205">
        <f t="shared" ref="AP384:AP391" si="496">Z384*T384</f>
        <v>0</v>
      </c>
      <c r="AQ384" s="205">
        <f t="shared" ref="AQ384:AQ391" si="497">AA384</f>
        <v>0</v>
      </c>
      <c r="AR384" s="205">
        <f t="shared" ref="AR384:AR391" si="498">W384*S384</f>
        <v>0</v>
      </c>
      <c r="AS384" s="205">
        <f t="shared" ref="AS384:AS391" si="499">W384*T384</f>
        <v>0</v>
      </c>
      <c r="AT384" s="209">
        <f t="shared" si="454"/>
        <v>6356.05</v>
      </c>
      <c r="AU384" s="209">
        <f t="shared" si="454"/>
        <v>0</v>
      </c>
      <c r="AV384" s="203"/>
      <c r="AW384" s="251">
        <f t="shared" ref="AW384:AW391" si="500">R384*S384</f>
        <v>6356.05</v>
      </c>
      <c r="AX384" s="251"/>
      <c r="AY384" s="838">
        <f t="shared" ref="AY384:AY391" si="501">AW384</f>
        <v>6356.05</v>
      </c>
      <c r="AZ384" s="838"/>
      <c r="BA384" s="842"/>
    </row>
    <row r="385" spans="2:53" s="78" customFormat="1" ht="63">
      <c r="B385" s="703">
        <f t="shared" ref="B385:B391" si="502">1+B384</f>
        <v>254</v>
      </c>
      <c r="C385" s="197" t="s">
        <v>1165</v>
      </c>
      <c r="D385" s="198" t="s">
        <v>1126</v>
      </c>
      <c r="E385" s="703" t="s">
        <v>1166</v>
      </c>
      <c r="F385" s="703">
        <v>9</v>
      </c>
      <c r="G385" s="199">
        <v>5527</v>
      </c>
      <c r="H385" s="736"/>
      <c r="I385" s="199"/>
      <c r="J385" s="736"/>
      <c r="K385" s="199"/>
      <c r="L385" s="199"/>
      <c r="M385" s="736"/>
      <c r="N385" s="199"/>
      <c r="O385" s="737">
        <v>0.15</v>
      </c>
      <c r="P385" s="204">
        <f>G385*O385</f>
        <v>829.05</v>
      </c>
      <c r="Q385" s="199"/>
      <c r="R385" s="199">
        <f t="shared" si="484"/>
        <v>6356.05</v>
      </c>
      <c r="S385" s="199">
        <v>1</v>
      </c>
      <c r="T385" s="199"/>
      <c r="U385" s="199"/>
      <c r="V385" s="736"/>
      <c r="W385" s="199"/>
      <c r="X385" s="718">
        <v>19</v>
      </c>
      <c r="Y385" s="737">
        <v>0.2</v>
      </c>
      <c r="Z385" s="199">
        <f t="shared" si="485"/>
        <v>1271.21</v>
      </c>
      <c r="AA385" s="199"/>
      <c r="AB385" s="199">
        <f>(R385+Z385)*S385</f>
        <v>7627.26</v>
      </c>
      <c r="AC385" s="738">
        <f t="shared" si="486"/>
        <v>5872.74</v>
      </c>
      <c r="AD385" s="738">
        <f t="shared" si="487"/>
        <v>13500</v>
      </c>
      <c r="AE385" s="202">
        <f t="shared" si="488"/>
        <v>13500</v>
      </c>
      <c r="AF385" s="202">
        <f t="shared" si="489"/>
        <v>5872.74</v>
      </c>
      <c r="AG385" s="738">
        <f t="shared" ref="AG385:AG391" si="503">7100*S385</f>
        <v>7100</v>
      </c>
      <c r="AH385" s="202"/>
      <c r="AI385" s="203">
        <f t="shared" si="490"/>
        <v>5527</v>
      </c>
      <c r="AJ385" s="203">
        <f t="shared" si="491"/>
        <v>0</v>
      </c>
      <c r="AK385" s="203">
        <f>R385*S385</f>
        <v>6356.05</v>
      </c>
      <c r="AL385" s="203">
        <f>R385*T385</f>
        <v>0</v>
      </c>
      <c r="AM385" s="203">
        <f>AK385-AI385</f>
        <v>829.05000000000018</v>
      </c>
      <c r="AN385" s="203">
        <f>AL385-AJ385</f>
        <v>0</v>
      </c>
      <c r="AO385" s="205">
        <f>Z385*S385</f>
        <v>1271.21</v>
      </c>
      <c r="AP385" s="205">
        <f>Z385*T385</f>
        <v>0</v>
      </c>
      <c r="AQ385" s="205">
        <f>AA385</f>
        <v>0</v>
      </c>
      <c r="AR385" s="205">
        <f>W385*S385</f>
        <v>0</v>
      </c>
      <c r="AS385" s="205">
        <f>W385*T385</f>
        <v>0</v>
      </c>
      <c r="AT385" s="209">
        <f t="shared" si="454"/>
        <v>6356.05</v>
      </c>
      <c r="AU385" s="209">
        <f t="shared" si="454"/>
        <v>0</v>
      </c>
      <c r="AV385" s="203"/>
      <c r="AW385" s="251">
        <f t="shared" si="500"/>
        <v>6356.05</v>
      </c>
      <c r="AX385" s="251"/>
      <c r="AY385" s="838">
        <f t="shared" si="501"/>
        <v>6356.05</v>
      </c>
      <c r="AZ385" s="838"/>
      <c r="BA385" s="842"/>
    </row>
    <row r="386" spans="2:53" s="78" customFormat="1" ht="63">
      <c r="B386" s="703">
        <f t="shared" si="502"/>
        <v>255</v>
      </c>
      <c r="C386" s="197" t="s">
        <v>1165</v>
      </c>
      <c r="D386" s="198" t="s">
        <v>1168</v>
      </c>
      <c r="E386" s="703" t="s">
        <v>1169</v>
      </c>
      <c r="F386" s="703">
        <v>9</v>
      </c>
      <c r="G386" s="199">
        <v>5527</v>
      </c>
      <c r="H386" s="736"/>
      <c r="I386" s="199"/>
      <c r="J386" s="736"/>
      <c r="K386" s="199"/>
      <c r="L386" s="199"/>
      <c r="M386" s="736"/>
      <c r="N386" s="199"/>
      <c r="O386" s="737">
        <v>0.15</v>
      </c>
      <c r="P386" s="204">
        <f>G386*O386</f>
        <v>829.05</v>
      </c>
      <c r="Q386" s="199"/>
      <c r="R386" s="199">
        <f t="shared" si="484"/>
        <v>6356.05</v>
      </c>
      <c r="S386" s="199">
        <v>1</v>
      </c>
      <c r="T386" s="206"/>
      <c r="U386" s="206"/>
      <c r="V386" s="741"/>
      <c r="W386" s="206"/>
      <c r="X386" s="718">
        <v>28</v>
      </c>
      <c r="Y386" s="737">
        <v>0.3</v>
      </c>
      <c r="Z386" s="199">
        <f t="shared" si="485"/>
        <v>1906.8150000000001</v>
      </c>
      <c r="AA386" s="199"/>
      <c r="AB386" s="199">
        <f>(R386+Z386)*S386</f>
        <v>8262.8649999999998</v>
      </c>
      <c r="AC386" s="738">
        <f t="shared" si="486"/>
        <v>5237.1350000000002</v>
      </c>
      <c r="AD386" s="738">
        <f t="shared" si="487"/>
        <v>13500</v>
      </c>
      <c r="AE386" s="202">
        <f t="shared" si="488"/>
        <v>13500</v>
      </c>
      <c r="AF386" s="202">
        <f t="shared" si="489"/>
        <v>5237.1350000000002</v>
      </c>
      <c r="AG386" s="738">
        <f t="shared" si="503"/>
        <v>7100</v>
      </c>
      <c r="AH386" s="202"/>
      <c r="AI386" s="203">
        <f t="shared" si="490"/>
        <v>5527</v>
      </c>
      <c r="AJ386" s="203">
        <f t="shared" si="491"/>
        <v>0</v>
      </c>
      <c r="AK386" s="203">
        <f t="shared" si="492"/>
        <v>6356.05</v>
      </c>
      <c r="AL386" s="203">
        <f t="shared" si="493"/>
        <v>0</v>
      </c>
      <c r="AM386" s="203">
        <f t="shared" si="494"/>
        <v>829.05000000000018</v>
      </c>
      <c r="AN386" s="203">
        <f t="shared" si="494"/>
        <v>0</v>
      </c>
      <c r="AO386" s="205">
        <f t="shared" si="495"/>
        <v>1906.8150000000001</v>
      </c>
      <c r="AP386" s="205">
        <f t="shared" si="496"/>
        <v>0</v>
      </c>
      <c r="AQ386" s="205">
        <f t="shared" si="497"/>
        <v>0</v>
      </c>
      <c r="AR386" s="205">
        <f t="shared" si="498"/>
        <v>0</v>
      </c>
      <c r="AS386" s="205">
        <f t="shared" si="499"/>
        <v>0</v>
      </c>
      <c r="AT386" s="209">
        <f t="shared" si="454"/>
        <v>6356.05</v>
      </c>
      <c r="AU386" s="209">
        <f t="shared" si="454"/>
        <v>0</v>
      </c>
      <c r="AV386" s="203"/>
      <c r="AW386" s="251">
        <f t="shared" si="500"/>
        <v>6356.05</v>
      </c>
      <c r="AX386" s="251"/>
      <c r="AY386" s="838">
        <f t="shared" si="501"/>
        <v>6356.05</v>
      </c>
      <c r="AZ386" s="838"/>
      <c r="BA386" s="842"/>
    </row>
    <row r="387" spans="2:53" s="78" customFormat="1" ht="63">
      <c r="B387" s="703">
        <f t="shared" si="502"/>
        <v>256</v>
      </c>
      <c r="C387" s="197" t="s">
        <v>1165</v>
      </c>
      <c r="D387" s="198" t="s">
        <v>1170</v>
      </c>
      <c r="E387" s="703" t="s">
        <v>1171</v>
      </c>
      <c r="F387" s="703">
        <v>9</v>
      </c>
      <c r="G387" s="199">
        <v>5527</v>
      </c>
      <c r="H387" s="736"/>
      <c r="I387" s="199"/>
      <c r="J387" s="736"/>
      <c r="K387" s="199"/>
      <c r="L387" s="199"/>
      <c r="M387" s="736"/>
      <c r="N387" s="199"/>
      <c r="O387" s="737">
        <v>0.15</v>
      </c>
      <c r="P387" s="204">
        <f>G387*O387</f>
        <v>829.05</v>
      </c>
      <c r="Q387" s="199"/>
      <c r="R387" s="199">
        <f t="shared" si="484"/>
        <v>6356.05</v>
      </c>
      <c r="S387" s="199">
        <v>1</v>
      </c>
      <c r="T387" s="199"/>
      <c r="U387" s="199"/>
      <c r="V387" s="736"/>
      <c r="W387" s="199"/>
      <c r="X387" s="718">
        <v>26</v>
      </c>
      <c r="Y387" s="737">
        <v>0.3</v>
      </c>
      <c r="Z387" s="199">
        <f t="shared" si="485"/>
        <v>1906.8150000000001</v>
      </c>
      <c r="AA387" s="199"/>
      <c r="AB387" s="199">
        <f>(R387+Z387)*S387</f>
        <v>8262.8649999999998</v>
      </c>
      <c r="AC387" s="738">
        <f t="shared" si="486"/>
        <v>5237.1350000000002</v>
      </c>
      <c r="AD387" s="738">
        <f t="shared" si="487"/>
        <v>13500</v>
      </c>
      <c r="AE387" s="202">
        <f t="shared" si="488"/>
        <v>13500</v>
      </c>
      <c r="AF387" s="202">
        <f t="shared" si="489"/>
        <v>5237.1350000000002</v>
      </c>
      <c r="AG387" s="738">
        <f t="shared" si="503"/>
        <v>7100</v>
      </c>
      <c r="AH387" s="202"/>
      <c r="AI387" s="203">
        <f t="shared" si="490"/>
        <v>5527</v>
      </c>
      <c r="AJ387" s="203">
        <f t="shared" si="491"/>
        <v>0</v>
      </c>
      <c r="AK387" s="203">
        <f t="shared" si="492"/>
        <v>6356.05</v>
      </c>
      <c r="AL387" s="203">
        <f t="shared" si="493"/>
        <v>0</v>
      </c>
      <c r="AM387" s="203">
        <f t="shared" si="494"/>
        <v>829.05000000000018</v>
      </c>
      <c r="AN387" s="203">
        <f t="shared" si="494"/>
        <v>0</v>
      </c>
      <c r="AO387" s="205">
        <f t="shared" si="495"/>
        <v>1906.8150000000001</v>
      </c>
      <c r="AP387" s="205">
        <f t="shared" si="496"/>
        <v>0</v>
      </c>
      <c r="AQ387" s="205">
        <f t="shared" si="497"/>
        <v>0</v>
      </c>
      <c r="AR387" s="205">
        <f t="shared" si="498"/>
        <v>0</v>
      </c>
      <c r="AS387" s="205">
        <f t="shared" si="499"/>
        <v>0</v>
      </c>
      <c r="AT387" s="209">
        <f t="shared" si="454"/>
        <v>6356.05</v>
      </c>
      <c r="AU387" s="209">
        <f t="shared" si="454"/>
        <v>0</v>
      </c>
      <c r="AV387" s="203"/>
      <c r="AW387" s="251">
        <f t="shared" si="500"/>
        <v>6356.05</v>
      </c>
      <c r="AX387" s="251"/>
      <c r="AY387" s="838">
        <f t="shared" si="501"/>
        <v>6356.05</v>
      </c>
      <c r="AZ387" s="838"/>
      <c r="BA387" s="842"/>
    </row>
    <row r="388" spans="2:53" s="78" customFormat="1" ht="63">
      <c r="B388" s="703">
        <f t="shared" si="502"/>
        <v>257</v>
      </c>
      <c r="C388" s="197" t="s">
        <v>1165</v>
      </c>
      <c r="D388" s="198" t="s">
        <v>206</v>
      </c>
      <c r="E388" s="703" t="s">
        <v>1883</v>
      </c>
      <c r="F388" s="703">
        <v>8</v>
      </c>
      <c r="G388" s="199">
        <v>5240</v>
      </c>
      <c r="H388" s="736"/>
      <c r="I388" s="199"/>
      <c r="J388" s="736"/>
      <c r="K388" s="199"/>
      <c r="L388" s="199"/>
      <c r="M388" s="736"/>
      <c r="N388" s="199"/>
      <c r="O388" s="737">
        <v>0.15</v>
      </c>
      <c r="P388" s="204">
        <f>G388*O388</f>
        <v>786</v>
      </c>
      <c r="Q388" s="199"/>
      <c r="R388" s="199">
        <f t="shared" si="484"/>
        <v>6026</v>
      </c>
      <c r="S388" s="199">
        <v>1</v>
      </c>
      <c r="T388" s="199"/>
      <c r="U388" s="199"/>
      <c r="V388" s="736"/>
      <c r="W388" s="199"/>
      <c r="X388" s="718">
        <v>19</v>
      </c>
      <c r="Y388" s="737">
        <v>0.2</v>
      </c>
      <c r="Z388" s="199">
        <f t="shared" si="485"/>
        <v>1205.2</v>
      </c>
      <c r="AA388" s="199"/>
      <c r="AB388" s="199">
        <f>(R388+Z388)*S388</f>
        <v>7231.2</v>
      </c>
      <c r="AC388" s="738">
        <f t="shared" si="486"/>
        <v>6268.8</v>
      </c>
      <c r="AD388" s="738">
        <f t="shared" si="487"/>
        <v>13500</v>
      </c>
      <c r="AE388" s="202">
        <f t="shared" si="488"/>
        <v>13500</v>
      </c>
      <c r="AF388" s="202">
        <f t="shared" si="489"/>
        <v>6268.8</v>
      </c>
      <c r="AG388" s="738">
        <f t="shared" si="503"/>
        <v>7100</v>
      </c>
      <c r="AH388" s="202"/>
      <c r="AI388" s="203">
        <f t="shared" si="490"/>
        <v>5240</v>
      </c>
      <c r="AJ388" s="203">
        <f t="shared" si="491"/>
        <v>0</v>
      </c>
      <c r="AK388" s="203">
        <f t="shared" si="492"/>
        <v>6026</v>
      </c>
      <c r="AL388" s="203">
        <f t="shared" si="493"/>
        <v>0</v>
      </c>
      <c r="AM388" s="203">
        <f t="shared" si="494"/>
        <v>786</v>
      </c>
      <c r="AN388" s="203">
        <f t="shared" si="494"/>
        <v>0</v>
      </c>
      <c r="AO388" s="205">
        <f t="shared" si="495"/>
        <v>1205.2</v>
      </c>
      <c r="AP388" s="205">
        <f t="shared" si="496"/>
        <v>0</v>
      </c>
      <c r="AQ388" s="205">
        <f t="shared" si="497"/>
        <v>0</v>
      </c>
      <c r="AR388" s="205">
        <f t="shared" si="498"/>
        <v>0</v>
      </c>
      <c r="AS388" s="205">
        <f t="shared" si="499"/>
        <v>0</v>
      </c>
      <c r="AT388" s="209">
        <f t="shared" si="454"/>
        <v>6026</v>
      </c>
      <c r="AU388" s="209">
        <f t="shared" si="454"/>
        <v>0</v>
      </c>
      <c r="AV388" s="203"/>
      <c r="AW388" s="251">
        <f t="shared" si="500"/>
        <v>6026</v>
      </c>
      <c r="AX388" s="251"/>
      <c r="AY388" s="838">
        <f t="shared" si="501"/>
        <v>6026</v>
      </c>
      <c r="AZ388" s="838"/>
      <c r="BA388" s="842"/>
    </row>
    <row r="389" spans="2:53" s="78" customFormat="1" ht="63">
      <c r="B389" s="703">
        <f t="shared" si="502"/>
        <v>258</v>
      </c>
      <c r="C389" s="197" t="s">
        <v>1172</v>
      </c>
      <c r="D389" s="198" t="s">
        <v>1811</v>
      </c>
      <c r="E389" s="703" t="s">
        <v>1167</v>
      </c>
      <c r="F389" s="703">
        <v>9</v>
      </c>
      <c r="G389" s="199">
        <v>5527</v>
      </c>
      <c r="H389" s="736"/>
      <c r="I389" s="199"/>
      <c r="J389" s="736"/>
      <c r="K389" s="199"/>
      <c r="L389" s="199"/>
      <c r="M389" s="736"/>
      <c r="N389" s="199"/>
      <c r="O389" s="736"/>
      <c r="P389" s="199"/>
      <c r="Q389" s="199"/>
      <c r="R389" s="199">
        <f t="shared" si="484"/>
        <v>5527</v>
      </c>
      <c r="S389" s="199">
        <v>1</v>
      </c>
      <c r="T389" s="199"/>
      <c r="U389" s="199"/>
      <c r="V389" s="736"/>
      <c r="W389" s="199"/>
      <c r="X389" s="718">
        <v>23</v>
      </c>
      <c r="Y389" s="737">
        <v>0.3</v>
      </c>
      <c r="Z389" s="199">
        <f t="shared" si="485"/>
        <v>1658.1</v>
      </c>
      <c r="AA389" s="199"/>
      <c r="AB389" s="199">
        <f>(R389+Z389)*S389+AA389</f>
        <v>7185.1</v>
      </c>
      <c r="AC389" s="738">
        <f t="shared" si="486"/>
        <v>6314.9</v>
      </c>
      <c r="AD389" s="738">
        <f t="shared" si="487"/>
        <v>13500</v>
      </c>
      <c r="AE389" s="202">
        <f t="shared" si="488"/>
        <v>13500</v>
      </c>
      <c r="AF389" s="202">
        <f t="shared" si="489"/>
        <v>6314.9</v>
      </c>
      <c r="AG389" s="738">
        <f t="shared" si="503"/>
        <v>7100</v>
      </c>
      <c r="AH389" s="202">
        <f>AG389-(R389*S389)-Z389</f>
        <v>-85.099999999999909</v>
      </c>
      <c r="AI389" s="203">
        <f t="shared" si="490"/>
        <v>5527</v>
      </c>
      <c r="AJ389" s="203">
        <f t="shared" si="491"/>
        <v>0</v>
      </c>
      <c r="AK389" s="203">
        <f t="shared" si="492"/>
        <v>5527</v>
      </c>
      <c r="AL389" s="203">
        <f t="shared" si="493"/>
        <v>0</v>
      </c>
      <c r="AM389" s="203">
        <f t="shared" si="494"/>
        <v>0</v>
      </c>
      <c r="AN389" s="203">
        <f t="shared" si="494"/>
        <v>0</v>
      </c>
      <c r="AO389" s="205">
        <f t="shared" si="495"/>
        <v>1658.1</v>
      </c>
      <c r="AP389" s="205">
        <f t="shared" si="496"/>
        <v>0</v>
      </c>
      <c r="AQ389" s="205">
        <f t="shared" si="497"/>
        <v>0</v>
      </c>
      <c r="AR389" s="205">
        <f t="shared" si="498"/>
        <v>0</v>
      </c>
      <c r="AS389" s="205">
        <f t="shared" si="499"/>
        <v>0</v>
      </c>
      <c r="AT389" s="209">
        <f t="shared" si="454"/>
        <v>5527</v>
      </c>
      <c r="AU389" s="209">
        <f t="shared" si="454"/>
        <v>0</v>
      </c>
      <c r="AV389" s="203"/>
      <c r="AW389" s="251">
        <f t="shared" si="500"/>
        <v>5527</v>
      </c>
      <c r="AX389" s="251"/>
      <c r="AY389" s="838">
        <f t="shared" si="501"/>
        <v>5527</v>
      </c>
      <c r="AZ389" s="838"/>
      <c r="BA389" s="842"/>
    </row>
    <row r="390" spans="2:53" s="78" customFormat="1" ht="63">
      <c r="B390" s="703">
        <f t="shared" si="502"/>
        <v>259</v>
      </c>
      <c r="C390" s="197" t="s">
        <v>1173</v>
      </c>
      <c r="D390" s="198" t="s">
        <v>172</v>
      </c>
      <c r="E390" s="703" t="s">
        <v>1174</v>
      </c>
      <c r="F390" s="703">
        <v>8</v>
      </c>
      <c r="G390" s="199">
        <v>5240</v>
      </c>
      <c r="H390" s="736"/>
      <c r="I390" s="199"/>
      <c r="J390" s="736"/>
      <c r="K390" s="199"/>
      <c r="L390" s="199"/>
      <c r="M390" s="736"/>
      <c r="N390" s="199"/>
      <c r="O390" s="736"/>
      <c r="P390" s="199"/>
      <c r="Q390" s="199"/>
      <c r="R390" s="199">
        <f t="shared" si="484"/>
        <v>5240</v>
      </c>
      <c r="S390" s="199">
        <v>1</v>
      </c>
      <c r="T390" s="199"/>
      <c r="U390" s="199"/>
      <c r="V390" s="736"/>
      <c r="W390" s="199"/>
      <c r="X390" s="718">
        <v>16</v>
      </c>
      <c r="Y390" s="737">
        <v>0.2</v>
      </c>
      <c r="Z390" s="199">
        <f t="shared" si="485"/>
        <v>1048</v>
      </c>
      <c r="AA390" s="199">
        <f>AH390</f>
        <v>812</v>
      </c>
      <c r="AB390" s="199">
        <f>(R390+Z390)*S390+AA390</f>
        <v>7100</v>
      </c>
      <c r="AC390" s="738">
        <f t="shared" si="486"/>
        <v>6400</v>
      </c>
      <c r="AD390" s="738">
        <f t="shared" si="487"/>
        <v>13500</v>
      </c>
      <c r="AE390" s="202">
        <f t="shared" si="488"/>
        <v>13500</v>
      </c>
      <c r="AF390" s="202">
        <f t="shared" si="489"/>
        <v>6400</v>
      </c>
      <c r="AG390" s="738">
        <f t="shared" si="503"/>
        <v>7100</v>
      </c>
      <c r="AH390" s="202">
        <f>AG390-(R390*S390)-Z390</f>
        <v>812</v>
      </c>
      <c r="AI390" s="203">
        <f t="shared" si="490"/>
        <v>5240</v>
      </c>
      <c r="AJ390" s="203">
        <f t="shared" si="491"/>
        <v>0</v>
      </c>
      <c r="AK390" s="203">
        <f t="shared" si="492"/>
        <v>5240</v>
      </c>
      <c r="AL390" s="203">
        <f t="shared" si="493"/>
        <v>0</v>
      </c>
      <c r="AM390" s="203">
        <f t="shared" si="494"/>
        <v>0</v>
      </c>
      <c r="AN390" s="203">
        <f t="shared" si="494"/>
        <v>0</v>
      </c>
      <c r="AO390" s="205">
        <f t="shared" si="495"/>
        <v>1048</v>
      </c>
      <c r="AP390" s="205">
        <f t="shared" si="496"/>
        <v>0</v>
      </c>
      <c r="AQ390" s="205">
        <f t="shared" si="497"/>
        <v>812</v>
      </c>
      <c r="AR390" s="205">
        <f t="shared" si="498"/>
        <v>0</v>
      </c>
      <c r="AS390" s="205">
        <f t="shared" si="499"/>
        <v>0</v>
      </c>
      <c r="AT390" s="209">
        <f t="shared" si="454"/>
        <v>5240</v>
      </c>
      <c r="AU390" s="209">
        <f t="shared" si="454"/>
        <v>0</v>
      </c>
      <c r="AV390" s="203"/>
      <c r="AW390" s="251">
        <f t="shared" si="500"/>
        <v>5240</v>
      </c>
      <c r="AX390" s="251"/>
      <c r="AY390" s="838">
        <f t="shared" si="501"/>
        <v>5240</v>
      </c>
      <c r="AZ390" s="838"/>
      <c r="BA390" s="842"/>
    </row>
    <row r="391" spans="2:53" s="78" customFormat="1" ht="87.75">
      <c r="B391" s="703">
        <f t="shared" si="502"/>
        <v>260</v>
      </c>
      <c r="C391" s="197" t="s">
        <v>1173</v>
      </c>
      <c r="D391" s="198" t="s">
        <v>189</v>
      </c>
      <c r="E391" s="703" t="s">
        <v>1175</v>
      </c>
      <c r="F391" s="703">
        <v>9</v>
      </c>
      <c r="G391" s="199">
        <v>5527</v>
      </c>
      <c r="H391" s="736"/>
      <c r="I391" s="199"/>
      <c r="J391" s="736"/>
      <c r="K391" s="199"/>
      <c r="L391" s="199"/>
      <c r="M391" s="736"/>
      <c r="N391" s="199"/>
      <c r="O391" s="736"/>
      <c r="P391" s="199"/>
      <c r="Q391" s="199"/>
      <c r="R391" s="199">
        <f t="shared" si="484"/>
        <v>5527</v>
      </c>
      <c r="S391" s="199">
        <v>1</v>
      </c>
      <c r="T391" s="199"/>
      <c r="U391" s="199"/>
      <c r="V391" s="736"/>
      <c r="W391" s="199"/>
      <c r="X391" s="718">
        <v>30</v>
      </c>
      <c r="Y391" s="737">
        <v>0.3</v>
      </c>
      <c r="Z391" s="199">
        <f t="shared" si="485"/>
        <v>1658.1</v>
      </c>
      <c r="AA391" s="199"/>
      <c r="AB391" s="199">
        <f>(R391+Z391)*S391+AA391</f>
        <v>7185.1</v>
      </c>
      <c r="AC391" s="738">
        <f t="shared" si="486"/>
        <v>6314.9</v>
      </c>
      <c r="AD391" s="738">
        <f t="shared" si="487"/>
        <v>13500</v>
      </c>
      <c r="AE391" s="202">
        <f t="shared" si="488"/>
        <v>13500</v>
      </c>
      <c r="AF391" s="202">
        <f>AE391-AB391</f>
        <v>6314.9</v>
      </c>
      <c r="AG391" s="738">
        <f t="shared" si="503"/>
        <v>7100</v>
      </c>
      <c r="AH391" s="202">
        <f>AG391-(R391*S391)-Z391</f>
        <v>-85.099999999999909</v>
      </c>
      <c r="AI391" s="203">
        <f t="shared" si="490"/>
        <v>5527</v>
      </c>
      <c r="AJ391" s="203">
        <f t="shared" si="491"/>
        <v>0</v>
      </c>
      <c r="AK391" s="203">
        <f t="shared" si="492"/>
        <v>5527</v>
      </c>
      <c r="AL391" s="203">
        <f t="shared" si="493"/>
        <v>0</v>
      </c>
      <c r="AM391" s="203">
        <f t="shared" si="494"/>
        <v>0</v>
      </c>
      <c r="AN391" s="203">
        <f t="shared" si="494"/>
        <v>0</v>
      </c>
      <c r="AO391" s="205">
        <f t="shared" si="495"/>
        <v>1658.1</v>
      </c>
      <c r="AP391" s="205">
        <f t="shared" si="496"/>
        <v>0</v>
      </c>
      <c r="AQ391" s="205">
        <f t="shared" si="497"/>
        <v>0</v>
      </c>
      <c r="AR391" s="205">
        <f t="shared" si="498"/>
        <v>0</v>
      </c>
      <c r="AS391" s="205">
        <f t="shared" si="499"/>
        <v>0</v>
      </c>
      <c r="AT391" s="209">
        <f t="shared" si="454"/>
        <v>5527</v>
      </c>
      <c r="AU391" s="209">
        <f t="shared" si="454"/>
        <v>0</v>
      </c>
      <c r="AV391" s="203"/>
      <c r="AW391" s="251">
        <f t="shared" si="500"/>
        <v>5527</v>
      </c>
      <c r="AX391" s="251"/>
      <c r="AY391" s="838">
        <f t="shared" si="501"/>
        <v>5527</v>
      </c>
      <c r="AZ391" s="838"/>
      <c r="BA391" s="842"/>
    </row>
    <row r="392" spans="2:53" s="78" customFormat="1">
      <c r="B392" s="703"/>
      <c r="C392" s="180" t="s">
        <v>1736</v>
      </c>
      <c r="D392" s="207"/>
      <c r="E392" s="193"/>
      <c r="F392" s="193"/>
      <c r="G392" s="183">
        <f>SUM(G384:G391)</f>
        <v>43642</v>
      </c>
      <c r="H392" s="731"/>
      <c r="I392" s="193"/>
      <c r="J392" s="731"/>
      <c r="K392" s="193"/>
      <c r="L392" s="193"/>
      <c r="M392" s="731"/>
      <c r="N392" s="193"/>
      <c r="O392" s="731"/>
      <c r="P392" s="185">
        <f>SUM(P384:P391)</f>
        <v>4102.2</v>
      </c>
      <c r="Q392" s="183"/>
      <c r="R392" s="183">
        <f>SUM(R384:R391)</f>
        <v>47744.2</v>
      </c>
      <c r="S392" s="183">
        <f>SUM(S384:S391)</f>
        <v>8</v>
      </c>
      <c r="T392" s="183">
        <f>SUM(T384:T391)</f>
        <v>0</v>
      </c>
      <c r="U392" s="183"/>
      <c r="V392" s="742"/>
      <c r="W392" s="183"/>
      <c r="X392" s="742"/>
      <c r="Y392" s="742"/>
      <c r="Z392" s="183">
        <f t="shared" ref="Z392:AV392" si="504">SUM(Z384:Z391)</f>
        <v>12561.055000000002</v>
      </c>
      <c r="AA392" s="183">
        <f t="shared" si="504"/>
        <v>812</v>
      </c>
      <c r="AB392" s="183">
        <f t="shared" si="504"/>
        <v>61117.25499999999</v>
      </c>
      <c r="AC392" s="183">
        <f t="shared" si="504"/>
        <v>46882.745000000003</v>
      </c>
      <c r="AD392" s="183">
        <f>SUM(AD384:AD391)</f>
        <v>108000</v>
      </c>
      <c r="AE392" s="183">
        <f t="shared" si="504"/>
        <v>108000</v>
      </c>
      <c r="AF392" s="183">
        <f t="shared" si="504"/>
        <v>46882.745000000003</v>
      </c>
      <c r="AG392" s="183">
        <f t="shared" si="504"/>
        <v>56800</v>
      </c>
      <c r="AH392" s="183">
        <f t="shared" si="504"/>
        <v>641.80000000000018</v>
      </c>
      <c r="AI392" s="183">
        <f t="shared" si="504"/>
        <v>43642</v>
      </c>
      <c r="AJ392" s="183">
        <f t="shared" si="504"/>
        <v>0</v>
      </c>
      <c r="AK392" s="183">
        <f t="shared" si="504"/>
        <v>47744.2</v>
      </c>
      <c r="AL392" s="183">
        <f t="shared" si="504"/>
        <v>0</v>
      </c>
      <c r="AM392" s="183">
        <f t="shared" si="504"/>
        <v>4102.2000000000007</v>
      </c>
      <c r="AN392" s="183">
        <f t="shared" si="504"/>
        <v>0</v>
      </c>
      <c r="AO392" s="183">
        <f t="shared" si="504"/>
        <v>12561.055000000002</v>
      </c>
      <c r="AP392" s="183">
        <f t="shared" si="504"/>
        <v>0</v>
      </c>
      <c r="AQ392" s="183">
        <f t="shared" si="504"/>
        <v>812</v>
      </c>
      <c r="AR392" s="183">
        <f t="shared" si="504"/>
        <v>0</v>
      </c>
      <c r="AS392" s="183">
        <f t="shared" si="504"/>
        <v>0</v>
      </c>
      <c r="AT392" s="183">
        <f t="shared" si="504"/>
        <v>47744.2</v>
      </c>
      <c r="AU392" s="183">
        <f t="shared" si="504"/>
        <v>0</v>
      </c>
      <c r="AV392" s="183">
        <f t="shared" si="504"/>
        <v>0</v>
      </c>
      <c r="AW392" s="183">
        <f>SUM(AW384:AW391)</f>
        <v>47744.2</v>
      </c>
      <c r="AX392" s="251"/>
      <c r="AY392" s="842"/>
      <c r="AZ392" s="838"/>
      <c r="BA392" s="842"/>
    </row>
    <row r="393" spans="2:53" s="76" customFormat="1" ht="34.5">
      <c r="B393" s="703"/>
      <c r="C393" s="220" t="s">
        <v>1874</v>
      </c>
      <c r="D393" s="207"/>
      <c r="E393" s="193"/>
      <c r="F393" s="193"/>
      <c r="G393" s="183"/>
      <c r="H393" s="752"/>
      <c r="I393" s="183"/>
      <c r="J393" s="731"/>
      <c r="K393" s="193"/>
      <c r="L393" s="193"/>
      <c r="M393" s="731"/>
      <c r="N393" s="193"/>
      <c r="O393" s="731"/>
      <c r="P393" s="193"/>
      <c r="Q393" s="193"/>
      <c r="R393" s="183"/>
      <c r="S393" s="183"/>
      <c r="T393" s="183"/>
      <c r="U393" s="183"/>
      <c r="V393" s="742"/>
      <c r="W393" s="183"/>
      <c r="X393" s="742"/>
      <c r="Y393" s="742"/>
      <c r="Z393" s="183"/>
      <c r="AA393" s="183"/>
      <c r="AB393" s="183"/>
      <c r="AC393" s="208"/>
      <c r="AD393" s="208"/>
      <c r="AE393" s="208"/>
      <c r="AF393" s="208"/>
      <c r="AG393" s="208"/>
      <c r="AH393" s="208"/>
      <c r="AI393" s="203"/>
      <c r="AJ393" s="203"/>
      <c r="AK393" s="203"/>
      <c r="AL393" s="203"/>
      <c r="AM393" s="203"/>
      <c r="AN393" s="203"/>
      <c r="AO393" s="205"/>
      <c r="AP393" s="205"/>
      <c r="AQ393" s="205"/>
      <c r="AR393" s="205"/>
      <c r="AS393" s="205"/>
      <c r="AT393" s="209"/>
      <c r="AU393" s="209"/>
      <c r="AV393" s="203"/>
      <c r="AW393" s="251"/>
      <c r="AX393" s="251"/>
      <c r="AY393" s="840"/>
      <c r="AZ393" s="838"/>
      <c r="BA393" s="840"/>
    </row>
    <row r="394" spans="2:53" s="78" customFormat="1" ht="63">
      <c r="B394" s="703">
        <f>B391+1</f>
        <v>261</v>
      </c>
      <c r="C394" s="197" t="s">
        <v>1213</v>
      </c>
      <c r="D394" s="198"/>
      <c r="E394" s="703" t="s">
        <v>1741</v>
      </c>
      <c r="F394" s="703">
        <v>3</v>
      </c>
      <c r="G394" s="199">
        <v>3770</v>
      </c>
      <c r="H394" s="736"/>
      <c r="I394" s="199"/>
      <c r="J394" s="741"/>
      <c r="K394" s="206"/>
      <c r="L394" s="206"/>
      <c r="M394" s="741"/>
      <c r="N394" s="206"/>
      <c r="O394" s="741"/>
      <c r="P394" s="206"/>
      <c r="Q394" s="206"/>
      <c r="R394" s="199">
        <f>G394+I394+K394+L394+N394+P394+Q394</f>
        <v>3770</v>
      </c>
      <c r="S394" s="199">
        <v>1</v>
      </c>
      <c r="T394" s="206"/>
      <c r="U394" s="206"/>
      <c r="V394" s="737">
        <v>0.1</v>
      </c>
      <c r="W394" s="199">
        <f>R394*V394</f>
        <v>377</v>
      </c>
      <c r="X394" s="718"/>
      <c r="Y394" s="737"/>
      <c r="Z394" s="199"/>
      <c r="AA394" s="199">
        <f>AH394</f>
        <v>3330</v>
      </c>
      <c r="AB394" s="199">
        <f>(R394+Z394+U394+W394)*S394+AA394</f>
        <v>7477</v>
      </c>
      <c r="AC394" s="738">
        <f>AF394</f>
        <v>0</v>
      </c>
      <c r="AD394" s="738">
        <f>AB394+AC394</f>
        <v>7477</v>
      </c>
      <c r="AE394" s="202">
        <f>AB394</f>
        <v>7477</v>
      </c>
      <c r="AF394" s="202">
        <f>AE394-AB394</f>
        <v>0</v>
      </c>
      <c r="AG394" s="738">
        <f>7100*S394</f>
        <v>7100</v>
      </c>
      <c r="AH394" s="202">
        <f>AG394-(R394*S394)</f>
        <v>3330</v>
      </c>
      <c r="AI394" s="203">
        <f>G394*S394</f>
        <v>3770</v>
      </c>
      <c r="AJ394" s="203">
        <f>G394*T394</f>
        <v>0</v>
      </c>
      <c r="AK394" s="203">
        <f>R394*S394</f>
        <v>3770</v>
      </c>
      <c r="AL394" s="203">
        <f>R394*T394</f>
        <v>0</v>
      </c>
      <c r="AM394" s="203">
        <f>AK394-AI394</f>
        <v>0</v>
      </c>
      <c r="AN394" s="203">
        <f>AL394-AJ394</f>
        <v>0</v>
      </c>
      <c r="AO394" s="205">
        <f>Z394*S394</f>
        <v>0</v>
      </c>
      <c r="AP394" s="205">
        <f>Z394*T394</f>
        <v>0</v>
      </c>
      <c r="AQ394" s="205">
        <f>AA394</f>
        <v>3330</v>
      </c>
      <c r="AR394" s="205">
        <f>W394*S394</f>
        <v>377</v>
      </c>
      <c r="AS394" s="205">
        <f>W394*T394</f>
        <v>0</v>
      </c>
      <c r="AT394" s="209">
        <f t="shared" si="454"/>
        <v>3770</v>
      </c>
      <c r="AU394" s="209">
        <f t="shared" si="454"/>
        <v>0</v>
      </c>
      <c r="AV394" s="203"/>
      <c r="AW394" s="251">
        <f>R394*S394</f>
        <v>3770</v>
      </c>
      <c r="AX394" s="251"/>
      <c r="AY394" s="838">
        <f>AW394</f>
        <v>3770</v>
      </c>
      <c r="AZ394" s="838"/>
      <c r="BA394" s="842"/>
    </row>
    <row r="395" spans="2:53" s="78" customFormat="1">
      <c r="B395" s="703"/>
      <c r="C395" s="180" t="s">
        <v>1736</v>
      </c>
      <c r="D395" s="207"/>
      <c r="E395" s="193"/>
      <c r="F395" s="193"/>
      <c r="G395" s="183">
        <f>SUM(G394:G394)</f>
        <v>3770</v>
      </c>
      <c r="H395" s="731"/>
      <c r="I395" s="193"/>
      <c r="J395" s="731"/>
      <c r="K395" s="193"/>
      <c r="L395" s="193"/>
      <c r="M395" s="731"/>
      <c r="N395" s="193"/>
      <c r="O395" s="731"/>
      <c r="P395" s="193"/>
      <c r="Q395" s="193"/>
      <c r="R395" s="183">
        <f>SUM(R394:R394)</f>
        <v>3770</v>
      </c>
      <c r="S395" s="183">
        <f>SUM(S394:S394)</f>
        <v>1</v>
      </c>
      <c r="T395" s="183">
        <f>SUM(T394:T394)</f>
        <v>0</v>
      </c>
      <c r="U395" s="183"/>
      <c r="V395" s="742"/>
      <c r="W395" s="183">
        <f>SUM(W394:W394)</f>
        <v>377</v>
      </c>
      <c r="X395" s="742"/>
      <c r="Y395" s="742"/>
      <c r="Z395" s="183"/>
      <c r="AA395" s="183">
        <f>SUM(AA394:AA394)</f>
        <v>3330</v>
      </c>
      <c r="AB395" s="183">
        <f t="shared" ref="AB395:AW395" si="505">SUM(AB394:AB394)</f>
        <v>7477</v>
      </c>
      <c r="AC395" s="183">
        <f t="shared" si="505"/>
        <v>0</v>
      </c>
      <c r="AD395" s="183">
        <f t="shared" si="505"/>
        <v>7477</v>
      </c>
      <c r="AE395" s="183">
        <f t="shared" si="505"/>
        <v>7477</v>
      </c>
      <c r="AF395" s="183">
        <f t="shared" si="505"/>
        <v>0</v>
      </c>
      <c r="AG395" s="183">
        <f t="shared" si="505"/>
        <v>7100</v>
      </c>
      <c r="AH395" s="183">
        <f t="shared" si="505"/>
        <v>3330</v>
      </c>
      <c r="AI395" s="183">
        <f t="shared" si="505"/>
        <v>3770</v>
      </c>
      <c r="AJ395" s="183">
        <f t="shared" si="505"/>
        <v>0</v>
      </c>
      <c r="AK395" s="183">
        <f t="shared" si="505"/>
        <v>3770</v>
      </c>
      <c r="AL395" s="183">
        <f t="shared" si="505"/>
        <v>0</v>
      </c>
      <c r="AM395" s="183">
        <f t="shared" si="505"/>
        <v>0</v>
      </c>
      <c r="AN395" s="183">
        <f t="shared" si="505"/>
        <v>0</v>
      </c>
      <c r="AO395" s="183">
        <f t="shared" si="505"/>
        <v>0</v>
      </c>
      <c r="AP395" s="183">
        <f t="shared" si="505"/>
        <v>0</v>
      </c>
      <c r="AQ395" s="183">
        <f t="shared" si="505"/>
        <v>3330</v>
      </c>
      <c r="AR395" s="183">
        <f t="shared" si="505"/>
        <v>377</v>
      </c>
      <c r="AS395" s="183">
        <f t="shared" si="505"/>
        <v>0</v>
      </c>
      <c r="AT395" s="183">
        <f t="shared" si="505"/>
        <v>3770</v>
      </c>
      <c r="AU395" s="183">
        <f t="shared" si="505"/>
        <v>0</v>
      </c>
      <c r="AV395" s="183">
        <f t="shared" si="505"/>
        <v>0</v>
      </c>
      <c r="AW395" s="183">
        <f t="shared" si="505"/>
        <v>3770</v>
      </c>
      <c r="AX395" s="251"/>
      <c r="AY395" s="842"/>
      <c r="AZ395" s="838"/>
      <c r="BA395" s="842"/>
    </row>
    <row r="396" spans="2:53" s="78" customFormat="1">
      <c r="B396" s="703"/>
      <c r="C396" s="180" t="s">
        <v>1278</v>
      </c>
      <c r="D396" s="207"/>
      <c r="E396" s="193"/>
      <c r="F396" s="193"/>
      <c r="G396" s="183">
        <f>G382+G392+G395</f>
        <v>54665</v>
      </c>
      <c r="H396" s="742"/>
      <c r="I396" s="183">
        <f>I382+I392+I395</f>
        <v>725.30000000000007</v>
      </c>
      <c r="J396" s="742"/>
      <c r="K396" s="183"/>
      <c r="L396" s="183"/>
      <c r="M396" s="742"/>
      <c r="N396" s="183"/>
      <c r="O396" s="742"/>
      <c r="P396" s="183">
        <f>P382+P392+P395</f>
        <v>5298.9449999999997</v>
      </c>
      <c r="Q396" s="183"/>
      <c r="R396" s="183">
        <f>R382+R392+R395</f>
        <v>60689.244999999995</v>
      </c>
      <c r="S396" s="183">
        <f>S382+S392+S395</f>
        <v>10</v>
      </c>
      <c r="T396" s="183">
        <f>T382+T392+T395</f>
        <v>0</v>
      </c>
      <c r="U396" s="183"/>
      <c r="V396" s="742"/>
      <c r="W396" s="183">
        <f>W382+W392+W395</f>
        <v>377</v>
      </c>
      <c r="X396" s="742"/>
      <c r="Y396" s="742"/>
      <c r="Z396" s="183">
        <f>Z382+Z392+Z395</f>
        <v>15313.568500000001</v>
      </c>
      <c r="AA396" s="183">
        <f>AA382+AA392+AA395</f>
        <v>4142</v>
      </c>
      <c r="AB396" s="183">
        <f>AB382+AB392+AB395</f>
        <v>80521.813499999989</v>
      </c>
      <c r="AC396" s="183">
        <f>AC382+AC392+AC395</f>
        <v>54955.186500000003</v>
      </c>
      <c r="AD396" s="183">
        <f>AD382+AD392+AD395</f>
        <v>135477</v>
      </c>
      <c r="AE396" s="183">
        <f t="shared" ref="AE396:AW396" si="506">AE382+AE392+AE395</f>
        <v>135477</v>
      </c>
      <c r="AF396" s="183">
        <f t="shared" si="506"/>
        <v>54955.186500000003</v>
      </c>
      <c r="AG396" s="183">
        <f t="shared" si="506"/>
        <v>71000</v>
      </c>
      <c r="AH396" s="183">
        <f t="shared" si="506"/>
        <v>8799.3584999999985</v>
      </c>
      <c r="AI396" s="183">
        <f t="shared" si="506"/>
        <v>54665</v>
      </c>
      <c r="AJ396" s="183">
        <f t="shared" si="506"/>
        <v>0</v>
      </c>
      <c r="AK396" s="183">
        <f t="shared" si="506"/>
        <v>60689.244999999995</v>
      </c>
      <c r="AL396" s="183">
        <f t="shared" si="506"/>
        <v>0</v>
      </c>
      <c r="AM396" s="183">
        <f t="shared" si="506"/>
        <v>6024.2450000000008</v>
      </c>
      <c r="AN396" s="183">
        <f t="shared" si="506"/>
        <v>0</v>
      </c>
      <c r="AO396" s="183">
        <f t="shared" si="506"/>
        <v>15313.568500000001</v>
      </c>
      <c r="AP396" s="183">
        <f t="shared" si="506"/>
        <v>0</v>
      </c>
      <c r="AQ396" s="183">
        <f t="shared" si="506"/>
        <v>4142</v>
      </c>
      <c r="AR396" s="183">
        <f t="shared" si="506"/>
        <v>377</v>
      </c>
      <c r="AS396" s="183">
        <f t="shared" si="506"/>
        <v>0</v>
      </c>
      <c r="AT396" s="183">
        <f t="shared" si="506"/>
        <v>60689.244999999995</v>
      </c>
      <c r="AU396" s="183">
        <f t="shared" si="506"/>
        <v>0</v>
      </c>
      <c r="AV396" s="183">
        <f t="shared" si="506"/>
        <v>0</v>
      </c>
      <c r="AW396" s="183">
        <f t="shared" si="506"/>
        <v>60689.244999999995</v>
      </c>
      <c r="AX396" s="251"/>
      <c r="AY396" s="842"/>
      <c r="AZ396" s="838"/>
      <c r="BA396" s="842"/>
    </row>
    <row r="397" spans="2:53" s="78" customFormat="1" ht="61.5">
      <c r="B397" s="703"/>
      <c r="C397" s="216" t="s">
        <v>1765</v>
      </c>
      <c r="D397" s="217"/>
      <c r="E397" s="218"/>
      <c r="F397" s="218"/>
      <c r="G397" s="218"/>
      <c r="H397" s="745"/>
      <c r="I397" s="218"/>
      <c r="J397" s="745"/>
      <c r="K397" s="218"/>
      <c r="L397" s="218"/>
      <c r="M397" s="745"/>
      <c r="N397" s="218"/>
      <c r="O397" s="745"/>
      <c r="P397" s="218"/>
      <c r="Q397" s="218"/>
      <c r="R397" s="218"/>
      <c r="S397" s="218"/>
      <c r="T397" s="218"/>
      <c r="U397" s="218"/>
      <c r="V397" s="746"/>
      <c r="W397" s="218"/>
      <c r="X397" s="746"/>
      <c r="Y397" s="746"/>
      <c r="Z397" s="218"/>
      <c r="AA397" s="218"/>
      <c r="AB397" s="218"/>
      <c r="AC397" s="219"/>
      <c r="AD397" s="219"/>
      <c r="AE397" s="219"/>
      <c r="AF397" s="219"/>
      <c r="AG397" s="219"/>
      <c r="AH397" s="219"/>
      <c r="AI397" s="203"/>
      <c r="AJ397" s="203"/>
      <c r="AK397" s="203"/>
      <c r="AL397" s="203"/>
      <c r="AM397" s="203"/>
      <c r="AN397" s="203"/>
      <c r="AO397" s="205"/>
      <c r="AP397" s="205"/>
      <c r="AQ397" s="205"/>
      <c r="AR397" s="205"/>
      <c r="AS397" s="205"/>
      <c r="AT397" s="209"/>
      <c r="AU397" s="209"/>
      <c r="AV397" s="203"/>
      <c r="AW397" s="251"/>
      <c r="AX397" s="251"/>
      <c r="AY397" s="842"/>
      <c r="AZ397" s="838"/>
      <c r="BA397" s="842"/>
    </row>
    <row r="398" spans="2:53" s="76" customFormat="1" ht="34.5">
      <c r="B398" s="703"/>
      <c r="C398" s="220" t="s">
        <v>1382</v>
      </c>
      <c r="D398" s="217"/>
      <c r="E398" s="218"/>
      <c r="F398" s="218"/>
      <c r="G398" s="218"/>
      <c r="H398" s="745"/>
      <c r="I398" s="218"/>
      <c r="J398" s="745"/>
      <c r="K398" s="218"/>
      <c r="L398" s="218"/>
      <c r="M398" s="745"/>
      <c r="N398" s="218"/>
      <c r="O398" s="745"/>
      <c r="P398" s="218"/>
      <c r="Q398" s="218"/>
      <c r="R398" s="218"/>
      <c r="S398" s="218"/>
      <c r="T398" s="218"/>
      <c r="U398" s="218"/>
      <c r="V398" s="746"/>
      <c r="W398" s="218"/>
      <c r="X398" s="746"/>
      <c r="Y398" s="746"/>
      <c r="Z398" s="218"/>
      <c r="AA398" s="218"/>
      <c r="AB398" s="218"/>
      <c r="AC398" s="219"/>
      <c r="AD398" s="219"/>
      <c r="AE398" s="219"/>
      <c r="AF398" s="219"/>
      <c r="AG398" s="219"/>
      <c r="AH398" s="219"/>
      <c r="AI398" s="203"/>
      <c r="AJ398" s="203"/>
      <c r="AK398" s="203"/>
      <c r="AL398" s="203"/>
      <c r="AM398" s="203"/>
      <c r="AN398" s="203"/>
      <c r="AO398" s="205"/>
      <c r="AP398" s="205"/>
      <c r="AQ398" s="205"/>
      <c r="AR398" s="205"/>
      <c r="AS398" s="205"/>
      <c r="AT398" s="209"/>
      <c r="AU398" s="209"/>
      <c r="AV398" s="203"/>
      <c r="AW398" s="251"/>
      <c r="AX398" s="251"/>
      <c r="AY398" s="840"/>
      <c r="AZ398" s="838"/>
      <c r="BA398" s="841"/>
    </row>
    <row r="399" spans="2:53" s="78" customFormat="1" ht="58.5">
      <c r="B399" s="703">
        <f>B394+1</f>
        <v>262</v>
      </c>
      <c r="C399" s="197" t="s">
        <v>1347</v>
      </c>
      <c r="D399" s="198" t="s">
        <v>1859</v>
      </c>
      <c r="E399" s="703" t="s">
        <v>1348</v>
      </c>
      <c r="F399" s="703">
        <v>13</v>
      </c>
      <c r="G399" s="199">
        <v>7253</v>
      </c>
      <c r="H399" s="718"/>
      <c r="I399" s="703"/>
      <c r="J399" s="718"/>
      <c r="K399" s="703"/>
      <c r="L399" s="703"/>
      <c r="M399" s="718"/>
      <c r="N399" s="199"/>
      <c r="O399" s="718"/>
      <c r="P399" s="703"/>
      <c r="Q399" s="201"/>
      <c r="R399" s="199">
        <f>G399+I399+K399+L399+N399+P399+Q399</f>
        <v>7253</v>
      </c>
      <c r="S399" s="199"/>
      <c r="T399" s="199">
        <v>0.5</v>
      </c>
      <c r="U399" s="194"/>
      <c r="V399" s="737"/>
      <c r="W399" s="194"/>
      <c r="X399" s="731">
        <v>40</v>
      </c>
      <c r="Y399" s="737">
        <v>0.3</v>
      </c>
      <c r="Z399" s="199">
        <f>R399*Y399</f>
        <v>2175.9</v>
      </c>
      <c r="AA399" s="199"/>
      <c r="AB399" s="199">
        <f>(R399+Z399)*T399+AA399</f>
        <v>4714.45</v>
      </c>
      <c r="AC399" s="738">
        <f>AF399</f>
        <v>5285.55</v>
      </c>
      <c r="AD399" s="738">
        <f>AB399+AC399</f>
        <v>10000</v>
      </c>
      <c r="AE399" s="202">
        <f>20000*T399</f>
        <v>10000</v>
      </c>
      <c r="AF399" s="202">
        <f>AE399-AB399</f>
        <v>5285.55</v>
      </c>
      <c r="AG399" s="738">
        <f>7100*T399</f>
        <v>3550</v>
      </c>
      <c r="AH399" s="202">
        <f>AB399-AG399</f>
        <v>1164.4499999999998</v>
      </c>
      <c r="AI399" s="203">
        <f>G399*S399</f>
        <v>0</v>
      </c>
      <c r="AJ399" s="203">
        <f>G399*T399</f>
        <v>3626.5</v>
      </c>
      <c r="AK399" s="203">
        <f>R399*S399</f>
        <v>0</v>
      </c>
      <c r="AL399" s="203">
        <f>R399*T399</f>
        <v>3626.5</v>
      </c>
      <c r="AM399" s="203">
        <f>AK399-AI399</f>
        <v>0</v>
      </c>
      <c r="AN399" s="203">
        <f>AL399-AJ399</f>
        <v>0</v>
      </c>
      <c r="AO399" s="205">
        <f>Z399*S399</f>
        <v>0</v>
      </c>
      <c r="AP399" s="205">
        <f>Z399*T399</f>
        <v>1087.95</v>
      </c>
      <c r="AQ399" s="205">
        <f>AA399</f>
        <v>0</v>
      </c>
      <c r="AR399" s="205">
        <f>W399*S399</f>
        <v>0</v>
      </c>
      <c r="AS399" s="205">
        <f>W399*T399</f>
        <v>0</v>
      </c>
      <c r="AT399" s="209">
        <f>AK399</f>
        <v>0</v>
      </c>
      <c r="AU399" s="209">
        <f>AL399</f>
        <v>3626.5</v>
      </c>
      <c r="AV399" s="203"/>
      <c r="AW399" s="251">
        <f>R399*T399</f>
        <v>3626.5</v>
      </c>
      <c r="AX399" s="251"/>
      <c r="AY399" s="838">
        <f>AW399</f>
        <v>3626.5</v>
      </c>
      <c r="AZ399" s="838"/>
      <c r="BA399" s="842"/>
    </row>
    <row r="400" spans="2:53" s="78" customFormat="1" hidden="1">
      <c r="B400" s="703">
        <f>B399+1</f>
        <v>263</v>
      </c>
      <c r="C400" s="197" t="s">
        <v>1347</v>
      </c>
      <c r="D400" s="198"/>
      <c r="E400" s="703"/>
      <c r="F400" s="703"/>
      <c r="G400" s="199"/>
      <c r="H400" s="718"/>
      <c r="I400" s="703"/>
      <c r="J400" s="718"/>
      <c r="K400" s="703"/>
      <c r="L400" s="703"/>
      <c r="M400" s="718"/>
      <c r="N400" s="199"/>
      <c r="O400" s="718"/>
      <c r="P400" s="703"/>
      <c r="Q400" s="201"/>
      <c r="R400" s="199">
        <f>G400+I400+K400+L400+N400+P400+Q400</f>
        <v>0</v>
      </c>
      <c r="S400" s="199"/>
      <c r="T400" s="199"/>
      <c r="U400" s="194"/>
      <c r="V400" s="737"/>
      <c r="W400" s="194"/>
      <c r="X400" s="731"/>
      <c r="Y400" s="737">
        <v>0</v>
      </c>
      <c r="Z400" s="199">
        <f>R400*Y400</f>
        <v>0</v>
      </c>
      <c r="AA400" s="199"/>
      <c r="AB400" s="199">
        <f>(R400+Z400)*S400</f>
        <v>0</v>
      </c>
      <c r="AC400" s="738">
        <f>AF400</f>
        <v>0</v>
      </c>
      <c r="AD400" s="738">
        <f>AB400+AC400</f>
        <v>0</v>
      </c>
      <c r="AE400" s="202">
        <f>20000*S400</f>
        <v>0</v>
      </c>
      <c r="AF400" s="202">
        <f>AE400-AB400</f>
        <v>0</v>
      </c>
      <c r="AG400" s="738">
        <f>7100*S400</f>
        <v>0</v>
      </c>
      <c r="AH400" s="202">
        <f>AB400-AG400</f>
        <v>0</v>
      </c>
      <c r="AI400" s="203">
        <f>G400*S400</f>
        <v>0</v>
      </c>
      <c r="AJ400" s="203">
        <f>G400*T400</f>
        <v>0</v>
      </c>
      <c r="AK400" s="203">
        <f>R400*S400</f>
        <v>0</v>
      </c>
      <c r="AL400" s="203">
        <f>R400*T400</f>
        <v>0</v>
      </c>
      <c r="AM400" s="203">
        <f>AK400-AI400</f>
        <v>0</v>
      </c>
      <c r="AN400" s="203">
        <f>AL400-AJ400</f>
        <v>0</v>
      </c>
      <c r="AO400" s="205">
        <f>Z400*S400</f>
        <v>0</v>
      </c>
      <c r="AP400" s="205">
        <f>Z400*T400</f>
        <v>0</v>
      </c>
      <c r="AQ400" s="205">
        <f>AA400</f>
        <v>0</v>
      </c>
      <c r="AR400" s="205">
        <f>W400*S400</f>
        <v>0</v>
      </c>
      <c r="AS400" s="205">
        <f>W400*T400</f>
        <v>0</v>
      </c>
      <c r="AT400" s="209">
        <f t="shared" si="454"/>
        <v>0</v>
      </c>
      <c r="AU400" s="209">
        <f t="shared" si="454"/>
        <v>0</v>
      </c>
      <c r="AV400" s="203"/>
      <c r="AW400" s="251">
        <f>AT400+AU400-AV400</f>
        <v>0</v>
      </c>
      <c r="AX400" s="251"/>
      <c r="AY400" s="842"/>
      <c r="AZ400" s="838"/>
      <c r="BA400" s="842"/>
    </row>
    <row r="401" spans="2:53" s="78" customFormat="1">
      <c r="B401" s="703"/>
      <c r="C401" s="180" t="s">
        <v>1736</v>
      </c>
      <c r="D401" s="207"/>
      <c r="E401" s="194"/>
      <c r="F401" s="193"/>
      <c r="G401" s="185">
        <f>SUM(G399:G400)</f>
        <v>7253</v>
      </c>
      <c r="H401" s="754"/>
      <c r="I401" s="185"/>
      <c r="J401" s="754"/>
      <c r="K401" s="185"/>
      <c r="L401" s="185"/>
      <c r="M401" s="754"/>
      <c r="N401" s="185"/>
      <c r="O401" s="754"/>
      <c r="P401" s="185"/>
      <c r="Q401" s="185"/>
      <c r="R401" s="185">
        <f>SUM(R399:R400)</f>
        <v>7253</v>
      </c>
      <c r="S401" s="183">
        <f>SUM(S399:S400)</f>
        <v>0</v>
      </c>
      <c r="T401" s="183">
        <f>SUM(T399:T400)</f>
        <v>0.5</v>
      </c>
      <c r="U401" s="185"/>
      <c r="V401" s="753"/>
      <c r="W401" s="185"/>
      <c r="X401" s="753"/>
      <c r="Y401" s="753"/>
      <c r="Z401" s="183">
        <f>SUM(Z399:Z400)</f>
        <v>2175.9</v>
      </c>
      <c r="AA401" s="183">
        <f t="shared" ref="AA401:AV401" si="507">SUM(AA399:AA400)</f>
        <v>0</v>
      </c>
      <c r="AB401" s="183">
        <f t="shared" si="507"/>
        <v>4714.45</v>
      </c>
      <c r="AC401" s="183">
        <f t="shared" si="507"/>
        <v>5285.55</v>
      </c>
      <c r="AD401" s="183">
        <f>SUM(AD399:AD400)</f>
        <v>10000</v>
      </c>
      <c r="AE401" s="183">
        <f t="shared" si="507"/>
        <v>10000</v>
      </c>
      <c r="AF401" s="183">
        <f t="shared" si="507"/>
        <v>5285.55</v>
      </c>
      <c r="AG401" s="183">
        <f t="shared" si="507"/>
        <v>3550</v>
      </c>
      <c r="AH401" s="183">
        <f t="shared" si="507"/>
        <v>1164.4499999999998</v>
      </c>
      <c r="AI401" s="183">
        <f t="shared" si="507"/>
        <v>0</v>
      </c>
      <c r="AJ401" s="183">
        <f t="shared" si="507"/>
        <v>3626.5</v>
      </c>
      <c r="AK401" s="183">
        <f t="shared" si="507"/>
        <v>0</v>
      </c>
      <c r="AL401" s="183">
        <f t="shared" si="507"/>
        <v>3626.5</v>
      </c>
      <c r="AM401" s="183">
        <f t="shared" si="507"/>
        <v>0</v>
      </c>
      <c r="AN401" s="183">
        <f t="shared" si="507"/>
        <v>0</v>
      </c>
      <c r="AO401" s="183">
        <f t="shared" si="507"/>
        <v>0</v>
      </c>
      <c r="AP401" s="183">
        <f t="shared" si="507"/>
        <v>1087.95</v>
      </c>
      <c r="AQ401" s="183">
        <f t="shared" si="507"/>
        <v>0</v>
      </c>
      <c r="AR401" s="183">
        <f t="shared" si="507"/>
        <v>0</v>
      </c>
      <c r="AS401" s="183">
        <f t="shared" si="507"/>
        <v>0</v>
      </c>
      <c r="AT401" s="183">
        <f t="shared" si="507"/>
        <v>0</v>
      </c>
      <c r="AU401" s="183">
        <f t="shared" si="507"/>
        <v>3626.5</v>
      </c>
      <c r="AV401" s="183">
        <f t="shared" si="507"/>
        <v>0</v>
      </c>
      <c r="AW401" s="183">
        <f>SUM(AW399:AW400)</f>
        <v>3626.5</v>
      </c>
      <c r="AX401" s="251"/>
      <c r="AY401" s="842"/>
      <c r="AZ401" s="838"/>
      <c r="BA401" s="842"/>
    </row>
    <row r="402" spans="2:53" s="76" customFormat="1" ht="34.5">
      <c r="B402" s="703"/>
      <c r="C402" s="220" t="s">
        <v>1581</v>
      </c>
      <c r="D402" s="192"/>
      <c r="E402" s="193"/>
      <c r="F402" s="193"/>
      <c r="G402" s="193"/>
      <c r="H402" s="731"/>
      <c r="I402" s="193"/>
      <c r="J402" s="731"/>
      <c r="K402" s="193"/>
      <c r="L402" s="193"/>
      <c r="M402" s="731"/>
      <c r="N402" s="193"/>
      <c r="O402" s="731"/>
      <c r="P402" s="193"/>
      <c r="Q402" s="193"/>
      <c r="R402" s="193"/>
      <c r="S402" s="193"/>
      <c r="T402" s="193"/>
      <c r="U402" s="193"/>
      <c r="V402" s="732"/>
      <c r="W402" s="193"/>
      <c r="X402" s="732"/>
      <c r="Y402" s="732"/>
      <c r="Z402" s="193"/>
      <c r="AA402" s="193"/>
      <c r="AB402" s="193"/>
      <c r="AC402" s="195"/>
      <c r="AD402" s="195"/>
      <c r="AE402" s="195"/>
      <c r="AF402" s="195"/>
      <c r="AG402" s="195"/>
      <c r="AH402" s="195"/>
      <c r="AI402" s="203"/>
      <c r="AJ402" s="203"/>
      <c r="AK402" s="203"/>
      <c r="AL402" s="203"/>
      <c r="AM402" s="203"/>
      <c r="AN402" s="203"/>
      <c r="AO402" s="205"/>
      <c r="AP402" s="205"/>
      <c r="AQ402" s="205"/>
      <c r="AR402" s="205"/>
      <c r="AS402" s="205"/>
      <c r="AT402" s="209"/>
      <c r="AU402" s="209"/>
      <c r="AV402" s="203"/>
      <c r="AW402" s="251"/>
      <c r="AX402" s="251"/>
      <c r="AY402" s="840"/>
      <c r="AZ402" s="838"/>
      <c r="BA402" s="840"/>
    </row>
    <row r="403" spans="2:53" s="78" customFormat="1" ht="87.75">
      <c r="B403" s="703">
        <f>B399+1</f>
        <v>263</v>
      </c>
      <c r="C403" s="197" t="s">
        <v>1796</v>
      </c>
      <c r="D403" s="198" t="s">
        <v>1861</v>
      </c>
      <c r="E403" s="703" t="s">
        <v>1797</v>
      </c>
      <c r="F403" s="703">
        <v>10</v>
      </c>
      <c r="G403" s="199">
        <v>5815</v>
      </c>
      <c r="H403" s="736"/>
      <c r="I403" s="199"/>
      <c r="J403" s="737"/>
      <c r="K403" s="201"/>
      <c r="L403" s="201"/>
      <c r="M403" s="736"/>
      <c r="N403" s="199"/>
      <c r="O403" s="736"/>
      <c r="P403" s="206"/>
      <c r="Q403" s="206"/>
      <c r="R403" s="199">
        <f>G403+I403+K403+L403+N403+P403+Q403</f>
        <v>5815</v>
      </c>
      <c r="S403" s="199">
        <v>1</v>
      </c>
      <c r="T403" s="199"/>
      <c r="U403" s="206"/>
      <c r="V403" s="741"/>
      <c r="W403" s="206"/>
      <c r="X403" s="718">
        <v>28</v>
      </c>
      <c r="Y403" s="737">
        <v>0.3</v>
      </c>
      <c r="Z403" s="199">
        <f>R403*Y403</f>
        <v>1744.5</v>
      </c>
      <c r="AA403" s="199"/>
      <c r="AB403" s="199">
        <f>(R403+Z403)*S403</f>
        <v>7559.5</v>
      </c>
      <c r="AC403" s="738">
        <f>AF403</f>
        <v>5940.5</v>
      </c>
      <c r="AD403" s="738">
        <f>AB403+AC403</f>
        <v>13500</v>
      </c>
      <c r="AE403" s="202">
        <f>13500*S403</f>
        <v>13500</v>
      </c>
      <c r="AF403" s="202">
        <f>AE403-AB403</f>
        <v>5940.5</v>
      </c>
      <c r="AG403" s="738">
        <f>7100*S403</f>
        <v>7100</v>
      </c>
      <c r="AH403" s="202"/>
      <c r="AI403" s="203">
        <f>G403*S403</f>
        <v>5815</v>
      </c>
      <c r="AJ403" s="203">
        <f>G403*T403</f>
        <v>0</v>
      </c>
      <c r="AK403" s="203">
        <f>R403*S403</f>
        <v>5815</v>
      </c>
      <c r="AL403" s="203">
        <f>R403*T403</f>
        <v>0</v>
      </c>
      <c r="AM403" s="203">
        <f t="shared" ref="AM403:AN405" si="508">AK403-AI403</f>
        <v>0</v>
      </c>
      <c r="AN403" s="203">
        <f t="shared" si="508"/>
        <v>0</v>
      </c>
      <c r="AO403" s="205">
        <f>Z403*S403</f>
        <v>1744.5</v>
      </c>
      <c r="AP403" s="205">
        <f>Z403*T403</f>
        <v>0</v>
      </c>
      <c r="AQ403" s="205">
        <f>AA403</f>
        <v>0</v>
      </c>
      <c r="AR403" s="205">
        <f>W403*S403</f>
        <v>0</v>
      </c>
      <c r="AS403" s="205">
        <f>W403*T403</f>
        <v>0</v>
      </c>
      <c r="AT403" s="209">
        <f t="shared" si="454"/>
        <v>5815</v>
      </c>
      <c r="AU403" s="209">
        <f t="shared" si="454"/>
        <v>0</v>
      </c>
      <c r="AV403" s="203"/>
      <c r="AW403" s="251">
        <f>R403*S403</f>
        <v>5815</v>
      </c>
      <c r="AX403" s="251"/>
      <c r="AY403" s="838">
        <f>AW403</f>
        <v>5815</v>
      </c>
      <c r="AZ403" s="838"/>
      <c r="BA403" s="842"/>
    </row>
    <row r="404" spans="2:53" s="78" customFormat="1">
      <c r="B404" s="703"/>
      <c r="C404" s="197"/>
      <c r="D404" s="198"/>
      <c r="E404" s="703"/>
      <c r="F404" s="703"/>
      <c r="G404" s="199"/>
      <c r="H404" s="736"/>
      <c r="I404" s="199"/>
      <c r="J404" s="737"/>
      <c r="K404" s="201"/>
      <c r="L404" s="201"/>
      <c r="M404" s="736"/>
      <c r="N404" s="199"/>
      <c r="O404" s="736"/>
      <c r="P404" s="206"/>
      <c r="Q404" s="206"/>
      <c r="R404" s="199">
        <f>G404+I404+K404+L404+N404+P404+Q404</f>
        <v>0</v>
      </c>
      <c r="S404" s="199"/>
      <c r="T404" s="199"/>
      <c r="U404" s="206"/>
      <c r="V404" s="741"/>
      <c r="W404" s="206"/>
      <c r="X404" s="718"/>
      <c r="Y404" s="737">
        <v>0</v>
      </c>
      <c r="Z404" s="199">
        <f>R404*Y404</f>
        <v>0</v>
      </c>
      <c r="AA404" s="199"/>
      <c r="AB404" s="199">
        <f>(R404+Z404)*S404+AA404</f>
        <v>0</v>
      </c>
      <c r="AC404" s="738">
        <f>AF404</f>
        <v>0</v>
      </c>
      <c r="AD404" s="738">
        <f>AB404+AC404</f>
        <v>0</v>
      </c>
      <c r="AE404" s="202">
        <f>13500*S404</f>
        <v>0</v>
      </c>
      <c r="AF404" s="202">
        <f>AE404-AB404</f>
        <v>0</v>
      </c>
      <c r="AG404" s="738">
        <f>7100*S404</f>
        <v>0</v>
      </c>
      <c r="AH404" s="202">
        <f>AG404-(R404*S404)-Z404</f>
        <v>0</v>
      </c>
      <c r="AI404" s="203">
        <f>G404*S404</f>
        <v>0</v>
      </c>
      <c r="AJ404" s="203">
        <f>G404*T404</f>
        <v>0</v>
      </c>
      <c r="AK404" s="203">
        <f>R404*S404</f>
        <v>0</v>
      </c>
      <c r="AL404" s="203">
        <f>R404*T404</f>
        <v>0</v>
      </c>
      <c r="AM404" s="203">
        <f t="shared" si="508"/>
        <v>0</v>
      </c>
      <c r="AN404" s="203">
        <f t="shared" si="508"/>
        <v>0</v>
      </c>
      <c r="AO404" s="205">
        <f>Z404*S404</f>
        <v>0</v>
      </c>
      <c r="AP404" s="205">
        <f>Z404*T404</f>
        <v>0</v>
      </c>
      <c r="AQ404" s="205">
        <f>AA404</f>
        <v>0</v>
      </c>
      <c r="AR404" s="205">
        <f>W404*S404</f>
        <v>0</v>
      </c>
      <c r="AS404" s="205">
        <f>W404*T404</f>
        <v>0</v>
      </c>
      <c r="AT404" s="209">
        <f t="shared" si="454"/>
        <v>0</v>
      </c>
      <c r="AU404" s="209">
        <f t="shared" si="454"/>
        <v>0</v>
      </c>
      <c r="AV404" s="203"/>
      <c r="AW404" s="251">
        <f>R404*S404</f>
        <v>0</v>
      </c>
      <c r="AX404" s="251"/>
      <c r="AY404" s="842"/>
      <c r="AZ404" s="838"/>
      <c r="BA404" s="842"/>
    </row>
    <row r="405" spans="2:53" s="78" customFormat="1" ht="58.5">
      <c r="B405" s="703">
        <f>1+B403</f>
        <v>264</v>
      </c>
      <c r="C405" s="197" t="s">
        <v>1184</v>
      </c>
      <c r="D405" s="212" t="s">
        <v>1185</v>
      </c>
      <c r="E405" s="206" t="s">
        <v>1798</v>
      </c>
      <c r="F405" s="703">
        <v>7</v>
      </c>
      <c r="G405" s="199">
        <v>4920</v>
      </c>
      <c r="H405" s="736"/>
      <c r="I405" s="199"/>
      <c r="J405" s="736"/>
      <c r="K405" s="199"/>
      <c r="L405" s="199"/>
      <c r="M405" s="736"/>
      <c r="N405" s="199"/>
      <c r="O405" s="736"/>
      <c r="P405" s="206"/>
      <c r="Q405" s="206"/>
      <c r="R405" s="199">
        <f>G405+I405+K405+L405+N405+P405+Q405</f>
        <v>4920</v>
      </c>
      <c r="S405" s="199">
        <v>1</v>
      </c>
      <c r="T405" s="199"/>
      <c r="U405" s="206"/>
      <c r="V405" s="741"/>
      <c r="W405" s="206"/>
      <c r="X405" s="718">
        <v>22</v>
      </c>
      <c r="Y405" s="737">
        <v>0.3</v>
      </c>
      <c r="Z405" s="199">
        <f>R405*Y405</f>
        <v>1476</v>
      </c>
      <c r="AA405" s="199">
        <f>AH405</f>
        <v>704</v>
      </c>
      <c r="AB405" s="199">
        <f>(R405+Z405)*S405+AA405</f>
        <v>7100</v>
      </c>
      <c r="AC405" s="738">
        <f>AF405</f>
        <v>6400</v>
      </c>
      <c r="AD405" s="738">
        <f>AB405+AC405</f>
        <v>13500</v>
      </c>
      <c r="AE405" s="202">
        <f>13500*S405</f>
        <v>13500</v>
      </c>
      <c r="AF405" s="202">
        <f>AE405-AB405</f>
        <v>6400</v>
      </c>
      <c r="AG405" s="738">
        <f>7100*S405</f>
        <v>7100</v>
      </c>
      <c r="AH405" s="202">
        <f>AG405-(R405*S405)-Z405</f>
        <v>704</v>
      </c>
      <c r="AI405" s="203">
        <f>G405*S405</f>
        <v>4920</v>
      </c>
      <c r="AJ405" s="203">
        <f>G405*T405</f>
        <v>0</v>
      </c>
      <c r="AK405" s="203">
        <f>R405*S405</f>
        <v>4920</v>
      </c>
      <c r="AL405" s="203">
        <f>R405*T405</f>
        <v>0</v>
      </c>
      <c r="AM405" s="203">
        <f t="shared" si="508"/>
        <v>0</v>
      </c>
      <c r="AN405" s="203">
        <f t="shared" si="508"/>
        <v>0</v>
      </c>
      <c r="AO405" s="205">
        <f>Z405*S405</f>
        <v>1476</v>
      </c>
      <c r="AP405" s="205">
        <f>Z405*T405</f>
        <v>0</v>
      </c>
      <c r="AQ405" s="205">
        <f>AA405</f>
        <v>704</v>
      </c>
      <c r="AR405" s="205">
        <f>W405*S405</f>
        <v>0</v>
      </c>
      <c r="AS405" s="205">
        <f>W405*T405</f>
        <v>0</v>
      </c>
      <c r="AT405" s="209">
        <f t="shared" si="454"/>
        <v>4920</v>
      </c>
      <c r="AU405" s="209">
        <f t="shared" si="454"/>
        <v>0</v>
      </c>
      <c r="AV405" s="203"/>
      <c r="AW405" s="251">
        <f>R405*S405</f>
        <v>4920</v>
      </c>
      <c r="AX405" s="251"/>
      <c r="AY405" s="838">
        <f>AW405</f>
        <v>4920</v>
      </c>
      <c r="AZ405" s="838"/>
      <c r="BA405" s="842"/>
    </row>
    <row r="406" spans="2:53" s="78" customFormat="1">
      <c r="B406" s="703"/>
      <c r="C406" s="180" t="s">
        <v>1736</v>
      </c>
      <c r="D406" s="207"/>
      <c r="E406" s="194"/>
      <c r="F406" s="193"/>
      <c r="G406" s="185">
        <f>SUM(G403:G405)</f>
        <v>10735</v>
      </c>
      <c r="H406" s="754"/>
      <c r="I406" s="185"/>
      <c r="J406" s="754"/>
      <c r="K406" s="185"/>
      <c r="L406" s="185"/>
      <c r="M406" s="754"/>
      <c r="N406" s="185"/>
      <c r="O406" s="754"/>
      <c r="P406" s="185"/>
      <c r="Q406" s="185"/>
      <c r="R406" s="185">
        <f>SUM(R403:R405)</f>
        <v>10735</v>
      </c>
      <c r="S406" s="183">
        <f>SUM(S403:S405)</f>
        <v>2</v>
      </c>
      <c r="T406" s="183">
        <f>SUM(T403:T405)</f>
        <v>0</v>
      </c>
      <c r="U406" s="185"/>
      <c r="V406" s="753"/>
      <c r="W406" s="185"/>
      <c r="X406" s="753"/>
      <c r="Y406" s="753"/>
      <c r="Z406" s="185">
        <f t="shared" ref="Z406:AV406" si="509">SUM(Z403:Z405)</f>
        <v>3220.5</v>
      </c>
      <c r="AA406" s="185">
        <f t="shared" si="509"/>
        <v>704</v>
      </c>
      <c r="AB406" s="185">
        <f t="shared" si="509"/>
        <v>14659.5</v>
      </c>
      <c r="AC406" s="185">
        <f t="shared" si="509"/>
        <v>12340.5</v>
      </c>
      <c r="AD406" s="185">
        <f>SUM(AD403:AD405)</f>
        <v>27000</v>
      </c>
      <c r="AE406" s="185">
        <f t="shared" si="509"/>
        <v>27000</v>
      </c>
      <c r="AF406" s="185">
        <f t="shared" si="509"/>
        <v>12340.5</v>
      </c>
      <c r="AG406" s="185">
        <f t="shared" si="509"/>
        <v>14200</v>
      </c>
      <c r="AH406" s="185">
        <f t="shared" si="509"/>
        <v>704</v>
      </c>
      <c r="AI406" s="185">
        <f t="shared" si="509"/>
        <v>10735</v>
      </c>
      <c r="AJ406" s="185">
        <f t="shared" si="509"/>
        <v>0</v>
      </c>
      <c r="AK406" s="185">
        <f t="shared" si="509"/>
        <v>10735</v>
      </c>
      <c r="AL406" s="185">
        <f t="shared" si="509"/>
        <v>0</v>
      </c>
      <c r="AM406" s="185">
        <f t="shared" si="509"/>
        <v>0</v>
      </c>
      <c r="AN406" s="185">
        <f t="shared" si="509"/>
        <v>0</v>
      </c>
      <c r="AO406" s="185">
        <f t="shared" si="509"/>
        <v>3220.5</v>
      </c>
      <c r="AP406" s="185">
        <f t="shared" si="509"/>
        <v>0</v>
      </c>
      <c r="AQ406" s="185">
        <f t="shared" si="509"/>
        <v>704</v>
      </c>
      <c r="AR406" s="185">
        <f t="shared" si="509"/>
        <v>0</v>
      </c>
      <c r="AS406" s="185">
        <f t="shared" si="509"/>
        <v>0</v>
      </c>
      <c r="AT406" s="185">
        <f t="shared" si="509"/>
        <v>10735</v>
      </c>
      <c r="AU406" s="185">
        <f t="shared" si="509"/>
        <v>0</v>
      </c>
      <c r="AV406" s="185">
        <f t="shared" si="509"/>
        <v>0</v>
      </c>
      <c r="AW406" s="185">
        <f>SUM(AW403:AW405)</f>
        <v>10735</v>
      </c>
      <c r="AX406" s="251"/>
      <c r="AY406" s="842"/>
      <c r="AZ406" s="838"/>
      <c r="BA406" s="842"/>
    </row>
    <row r="407" spans="2:53" s="78" customFormat="1">
      <c r="B407" s="703"/>
      <c r="C407" s="180" t="s">
        <v>1278</v>
      </c>
      <c r="D407" s="207"/>
      <c r="E407" s="193"/>
      <c r="F407" s="193"/>
      <c r="G407" s="183">
        <f>G401+G406</f>
        <v>17988</v>
      </c>
      <c r="H407" s="742"/>
      <c r="I407" s="183"/>
      <c r="J407" s="742"/>
      <c r="K407" s="183"/>
      <c r="L407" s="183"/>
      <c r="M407" s="742"/>
      <c r="N407" s="183"/>
      <c r="O407" s="742"/>
      <c r="P407" s="183"/>
      <c r="Q407" s="183"/>
      <c r="R407" s="183">
        <f t="shared" ref="R407:AW407" si="510">R401+R406</f>
        <v>17988</v>
      </c>
      <c r="S407" s="183">
        <f t="shared" si="510"/>
        <v>2</v>
      </c>
      <c r="T407" s="183">
        <f t="shared" si="510"/>
        <v>0.5</v>
      </c>
      <c r="U407" s="183"/>
      <c r="V407" s="742"/>
      <c r="W407" s="183"/>
      <c r="X407" s="742"/>
      <c r="Y407" s="742"/>
      <c r="Z407" s="183">
        <f t="shared" si="510"/>
        <v>5396.4</v>
      </c>
      <c r="AA407" s="183">
        <f t="shared" si="510"/>
        <v>704</v>
      </c>
      <c r="AB407" s="183">
        <f t="shared" si="510"/>
        <v>19373.95</v>
      </c>
      <c r="AC407" s="183">
        <f t="shared" si="510"/>
        <v>17626.05</v>
      </c>
      <c r="AD407" s="183">
        <f>AD401+AD406</f>
        <v>37000</v>
      </c>
      <c r="AE407" s="183">
        <f t="shared" si="510"/>
        <v>37000</v>
      </c>
      <c r="AF407" s="183">
        <f t="shared" si="510"/>
        <v>17626.05</v>
      </c>
      <c r="AG407" s="183">
        <f>AG401+AG406</f>
        <v>17750</v>
      </c>
      <c r="AH407" s="183">
        <f t="shared" si="510"/>
        <v>1868.4499999999998</v>
      </c>
      <c r="AI407" s="183">
        <f t="shared" si="510"/>
        <v>10735</v>
      </c>
      <c r="AJ407" s="183">
        <f t="shared" si="510"/>
        <v>3626.5</v>
      </c>
      <c r="AK407" s="183">
        <f t="shared" si="510"/>
        <v>10735</v>
      </c>
      <c r="AL407" s="183">
        <f t="shared" si="510"/>
        <v>3626.5</v>
      </c>
      <c r="AM407" s="183">
        <f t="shared" si="510"/>
        <v>0</v>
      </c>
      <c r="AN407" s="183">
        <f t="shared" si="510"/>
        <v>0</v>
      </c>
      <c r="AO407" s="183">
        <f t="shared" si="510"/>
        <v>3220.5</v>
      </c>
      <c r="AP407" s="183">
        <f t="shared" si="510"/>
        <v>1087.95</v>
      </c>
      <c r="AQ407" s="183">
        <f t="shared" si="510"/>
        <v>704</v>
      </c>
      <c r="AR407" s="183">
        <f t="shared" si="510"/>
        <v>0</v>
      </c>
      <c r="AS407" s="183">
        <f t="shared" si="510"/>
        <v>0</v>
      </c>
      <c r="AT407" s="183">
        <f t="shared" si="510"/>
        <v>10735</v>
      </c>
      <c r="AU407" s="183">
        <f t="shared" si="510"/>
        <v>3626.5</v>
      </c>
      <c r="AV407" s="183">
        <f t="shared" si="510"/>
        <v>0</v>
      </c>
      <c r="AW407" s="183">
        <f t="shared" si="510"/>
        <v>14361.5</v>
      </c>
      <c r="AX407" s="251"/>
      <c r="AY407" s="842"/>
      <c r="AZ407" s="838"/>
      <c r="BA407" s="842"/>
    </row>
    <row r="408" spans="2:53" s="76" customFormat="1" ht="61.5">
      <c r="B408" s="703"/>
      <c r="C408" s="191" t="s">
        <v>1061</v>
      </c>
      <c r="D408" s="192"/>
      <c r="E408" s="193"/>
      <c r="F408" s="193"/>
      <c r="G408" s="193"/>
      <c r="H408" s="731"/>
      <c r="I408" s="193"/>
      <c r="J408" s="731"/>
      <c r="K408" s="193"/>
      <c r="L408" s="193"/>
      <c r="M408" s="731"/>
      <c r="N408" s="193"/>
      <c r="O408" s="731"/>
      <c r="P408" s="193"/>
      <c r="Q408" s="193"/>
      <c r="R408" s="193"/>
      <c r="S408" s="193"/>
      <c r="T408" s="193"/>
      <c r="U408" s="193"/>
      <c r="V408" s="732"/>
      <c r="W408" s="193"/>
      <c r="X408" s="732"/>
      <c r="Y408" s="732"/>
      <c r="Z408" s="193"/>
      <c r="AA408" s="193"/>
      <c r="AB408" s="193"/>
      <c r="AC408" s="195"/>
      <c r="AD408" s="195"/>
      <c r="AE408" s="195"/>
      <c r="AF408" s="195"/>
      <c r="AG408" s="195"/>
      <c r="AH408" s="195"/>
      <c r="AI408" s="203">
        <f>G408*S408</f>
        <v>0</v>
      </c>
      <c r="AJ408" s="203">
        <f>G408*T408</f>
        <v>0</v>
      </c>
      <c r="AK408" s="203">
        <f>R408*S408</f>
        <v>0</v>
      </c>
      <c r="AL408" s="203">
        <f>R408*T408</f>
        <v>0</v>
      </c>
      <c r="AM408" s="203">
        <f t="shared" ref="AM408:AN411" si="511">AK408-AI408</f>
        <v>0</v>
      </c>
      <c r="AN408" s="203">
        <f t="shared" si="511"/>
        <v>0</v>
      </c>
      <c r="AO408" s="205">
        <f>Z408*S408</f>
        <v>0</v>
      </c>
      <c r="AP408" s="205">
        <f>Z408*T408</f>
        <v>0</v>
      </c>
      <c r="AQ408" s="205">
        <f>AA408</f>
        <v>0</v>
      </c>
      <c r="AR408" s="205">
        <f>W408*S408</f>
        <v>0</v>
      </c>
      <c r="AS408" s="205">
        <f>W408*T408</f>
        <v>0</v>
      </c>
      <c r="AT408" s="209">
        <f t="shared" si="454"/>
        <v>0</v>
      </c>
      <c r="AU408" s="209">
        <f t="shared" si="454"/>
        <v>0</v>
      </c>
      <c r="AV408" s="203"/>
      <c r="AW408" s="251"/>
      <c r="AX408" s="251"/>
      <c r="AY408" s="840"/>
      <c r="AZ408" s="838"/>
      <c r="BA408" s="840"/>
    </row>
    <row r="409" spans="2:53" s="76" customFormat="1" ht="63">
      <c r="B409" s="703">
        <f>1+B405</f>
        <v>265</v>
      </c>
      <c r="C409" s="197" t="s">
        <v>1064</v>
      </c>
      <c r="D409" s="198" t="s">
        <v>1751</v>
      </c>
      <c r="E409" s="703" t="s">
        <v>1110</v>
      </c>
      <c r="F409" s="703">
        <v>6</v>
      </c>
      <c r="G409" s="199">
        <v>4633</v>
      </c>
      <c r="H409" s="736"/>
      <c r="I409" s="199"/>
      <c r="J409" s="736"/>
      <c r="K409" s="199"/>
      <c r="L409" s="199"/>
      <c r="M409" s="736"/>
      <c r="N409" s="199"/>
      <c r="O409" s="736"/>
      <c r="P409" s="199"/>
      <c r="Q409" s="199"/>
      <c r="R409" s="199">
        <f>G409+I409+K409+L409+N409+P409+Q409</f>
        <v>4633</v>
      </c>
      <c r="S409" s="199">
        <v>1</v>
      </c>
      <c r="T409" s="199"/>
      <c r="U409" s="199"/>
      <c r="V409" s="736"/>
      <c r="W409" s="199"/>
      <c r="X409" s="718">
        <v>16</v>
      </c>
      <c r="Y409" s="737">
        <v>0.2</v>
      </c>
      <c r="Z409" s="199">
        <f>R409*Y409</f>
        <v>926.6</v>
      </c>
      <c r="AA409" s="199">
        <f>AH409</f>
        <v>1540.3999999999996</v>
      </c>
      <c r="AB409" s="199">
        <f>(R409+Z409)*S409+AA409</f>
        <v>7100</v>
      </c>
      <c r="AC409" s="738">
        <f>AF409</f>
        <v>6400</v>
      </c>
      <c r="AD409" s="738">
        <f>AB409+AC409</f>
        <v>13500</v>
      </c>
      <c r="AE409" s="202">
        <f>13500*S409</f>
        <v>13500</v>
      </c>
      <c r="AF409" s="202">
        <f>AE409-AB409</f>
        <v>6400</v>
      </c>
      <c r="AG409" s="738">
        <f>7100*S409</f>
        <v>7100</v>
      </c>
      <c r="AH409" s="202">
        <f>AG409-(R409+Z409)*S409</f>
        <v>1540.3999999999996</v>
      </c>
      <c r="AI409" s="203">
        <f>G409*S409</f>
        <v>4633</v>
      </c>
      <c r="AJ409" s="203">
        <f>G409*S409</f>
        <v>4633</v>
      </c>
      <c r="AK409" s="203">
        <f>R409*S409</f>
        <v>4633</v>
      </c>
      <c r="AL409" s="203">
        <f>R409*S409</f>
        <v>4633</v>
      </c>
      <c r="AM409" s="203">
        <f t="shared" si="511"/>
        <v>0</v>
      </c>
      <c r="AN409" s="203">
        <f t="shared" si="511"/>
        <v>0</v>
      </c>
      <c r="AO409" s="205">
        <f>Z409*S409</f>
        <v>926.6</v>
      </c>
      <c r="AP409" s="205">
        <f>Z409*T409</f>
        <v>0</v>
      </c>
      <c r="AQ409" s="205">
        <f>AA409</f>
        <v>1540.3999999999996</v>
      </c>
      <c r="AR409" s="205">
        <f>W409*S409</f>
        <v>0</v>
      </c>
      <c r="AS409" s="205">
        <f>W409*T409</f>
        <v>0</v>
      </c>
      <c r="AT409" s="209">
        <f t="shared" si="454"/>
        <v>4633</v>
      </c>
      <c r="AU409" s="209">
        <f t="shared" si="454"/>
        <v>4633</v>
      </c>
      <c r="AV409" s="203"/>
      <c r="AW409" s="251">
        <f>R409*S409</f>
        <v>4633</v>
      </c>
      <c r="AX409" s="251"/>
      <c r="AY409" s="838">
        <f>AW409</f>
        <v>4633</v>
      </c>
      <c r="AZ409" s="838"/>
      <c r="BA409" s="840"/>
    </row>
    <row r="410" spans="2:53" s="76" customFormat="1" ht="63">
      <c r="B410" s="703">
        <f>B409+1</f>
        <v>266</v>
      </c>
      <c r="C410" s="197" t="s">
        <v>1064</v>
      </c>
      <c r="D410" s="198" t="s">
        <v>207</v>
      </c>
      <c r="E410" s="703" t="s">
        <v>208</v>
      </c>
      <c r="F410" s="703">
        <v>9</v>
      </c>
      <c r="G410" s="199">
        <v>5527</v>
      </c>
      <c r="H410" s="736"/>
      <c r="I410" s="199"/>
      <c r="J410" s="736"/>
      <c r="K410" s="199"/>
      <c r="L410" s="199"/>
      <c r="M410" s="736"/>
      <c r="N410" s="199"/>
      <c r="O410" s="736"/>
      <c r="P410" s="199"/>
      <c r="Q410" s="199"/>
      <c r="R410" s="199">
        <f>G410+I410+K410+L410+N410+P410+Q410</f>
        <v>5527</v>
      </c>
      <c r="S410" s="199"/>
      <c r="T410" s="199">
        <v>0.5</v>
      </c>
      <c r="U410" s="199"/>
      <c r="V410" s="736"/>
      <c r="W410" s="199"/>
      <c r="X410" s="718">
        <v>28</v>
      </c>
      <c r="Y410" s="737">
        <v>0.3</v>
      </c>
      <c r="Z410" s="199">
        <f>R410*Y410</f>
        <v>1658.1</v>
      </c>
      <c r="AA410" s="199"/>
      <c r="AB410" s="199">
        <f>(R410+Z410)*T410+AA410</f>
        <v>3592.55</v>
      </c>
      <c r="AC410" s="738">
        <f>AF410</f>
        <v>3157.45</v>
      </c>
      <c r="AD410" s="738">
        <f>AB410+AC410</f>
        <v>6750</v>
      </c>
      <c r="AE410" s="202">
        <f>13500*T410</f>
        <v>6750</v>
      </c>
      <c r="AF410" s="202">
        <f>AE410-AB410</f>
        <v>3157.45</v>
      </c>
      <c r="AG410" s="738">
        <f>7100*T410</f>
        <v>3550</v>
      </c>
      <c r="AH410" s="202">
        <f>AG410-(R410+Z410)*T410</f>
        <v>-42.550000000000182</v>
      </c>
      <c r="AI410" s="203">
        <f>G410*T410</f>
        <v>2763.5</v>
      </c>
      <c r="AJ410" s="203">
        <f>G410*T410</f>
        <v>2763.5</v>
      </c>
      <c r="AK410" s="203">
        <f>R410*T410</f>
        <v>2763.5</v>
      </c>
      <c r="AL410" s="203">
        <f>R410*T410</f>
        <v>2763.5</v>
      </c>
      <c r="AM410" s="203">
        <f t="shared" si="511"/>
        <v>0</v>
      </c>
      <c r="AN410" s="203">
        <f t="shared" si="511"/>
        <v>0</v>
      </c>
      <c r="AO410" s="205">
        <f>Z410*T410</f>
        <v>829.05</v>
      </c>
      <c r="AP410" s="205">
        <f>Z410*T410</f>
        <v>829.05</v>
      </c>
      <c r="AQ410" s="205">
        <f>AA410</f>
        <v>0</v>
      </c>
      <c r="AR410" s="205">
        <f>W410*T410</f>
        <v>0</v>
      </c>
      <c r="AS410" s="205">
        <f>W410*T410</f>
        <v>0</v>
      </c>
      <c r="AT410" s="209">
        <f>AK410</f>
        <v>2763.5</v>
      </c>
      <c r="AU410" s="209">
        <f>AL410</f>
        <v>2763.5</v>
      </c>
      <c r="AV410" s="203"/>
      <c r="AW410" s="251">
        <f>R410*T410</f>
        <v>2763.5</v>
      </c>
      <c r="AX410" s="251"/>
      <c r="AY410" s="838">
        <f>AW410</f>
        <v>2763.5</v>
      </c>
      <c r="AZ410" s="838"/>
      <c r="BA410" s="840"/>
    </row>
    <row r="411" spans="2:53" s="76" customFormat="1" ht="63">
      <c r="B411" s="703">
        <f>1+B410</f>
        <v>267</v>
      </c>
      <c r="C411" s="197" t="s">
        <v>1066</v>
      </c>
      <c r="D411" s="198" t="s">
        <v>1176</v>
      </c>
      <c r="E411" s="703" t="s">
        <v>276</v>
      </c>
      <c r="F411" s="703">
        <v>9</v>
      </c>
      <c r="G411" s="199">
        <v>5527</v>
      </c>
      <c r="H411" s="736"/>
      <c r="I411" s="199"/>
      <c r="J411" s="736"/>
      <c r="K411" s="199"/>
      <c r="L411" s="199"/>
      <c r="M411" s="736"/>
      <c r="N411" s="199"/>
      <c r="O411" s="736"/>
      <c r="P411" s="199"/>
      <c r="Q411" s="199"/>
      <c r="R411" s="199">
        <f>G411+I411+K411+L411+N411+P411+Q411</f>
        <v>5527</v>
      </c>
      <c r="S411" s="199"/>
      <c r="T411" s="199">
        <v>0.5</v>
      </c>
      <c r="U411" s="199"/>
      <c r="V411" s="736"/>
      <c r="W411" s="199"/>
      <c r="X411" s="741">
        <v>41</v>
      </c>
      <c r="Y411" s="737">
        <v>0.3</v>
      </c>
      <c r="Z411" s="199">
        <f>R411*Y411</f>
        <v>1658.1</v>
      </c>
      <c r="AA411" s="199"/>
      <c r="AB411" s="199">
        <f>(R411+Z411)*T411+AA411</f>
        <v>3592.55</v>
      </c>
      <c r="AC411" s="738">
        <f>AF411</f>
        <v>3157.45</v>
      </c>
      <c r="AD411" s="738">
        <f>AB411+AC411</f>
        <v>6750</v>
      </c>
      <c r="AE411" s="202">
        <f>13500*T411</f>
        <v>6750</v>
      </c>
      <c r="AF411" s="202">
        <f>AE411-AB411</f>
        <v>3157.45</v>
      </c>
      <c r="AG411" s="738">
        <f>7100*T411</f>
        <v>3550</v>
      </c>
      <c r="AH411" s="202">
        <f>AG411-(R411+Z411)*T411</f>
        <v>-42.550000000000182</v>
      </c>
      <c r="AI411" s="203">
        <f>G411*T411</f>
        <v>2763.5</v>
      </c>
      <c r="AJ411" s="203">
        <f>G411*T411</f>
        <v>2763.5</v>
      </c>
      <c r="AK411" s="203">
        <f>R411*T411</f>
        <v>2763.5</v>
      </c>
      <c r="AL411" s="203">
        <f>R411*T411</f>
        <v>2763.5</v>
      </c>
      <c r="AM411" s="203">
        <f t="shared" si="511"/>
        <v>0</v>
      </c>
      <c r="AN411" s="203">
        <f t="shared" si="511"/>
        <v>0</v>
      </c>
      <c r="AO411" s="205">
        <f>Z411*T411</f>
        <v>829.05</v>
      </c>
      <c r="AP411" s="205">
        <f>Z411*T411</f>
        <v>829.05</v>
      </c>
      <c r="AQ411" s="205">
        <f>AA411</f>
        <v>0</v>
      </c>
      <c r="AR411" s="205">
        <f>W411*T411</f>
        <v>0</v>
      </c>
      <c r="AS411" s="205">
        <f>W411*T411</f>
        <v>0</v>
      </c>
      <c r="AT411" s="209">
        <f>AK411</f>
        <v>2763.5</v>
      </c>
      <c r="AU411" s="209">
        <f>AL411</f>
        <v>2763.5</v>
      </c>
      <c r="AV411" s="203"/>
      <c r="AW411" s="251">
        <f>R411*T411</f>
        <v>2763.5</v>
      </c>
      <c r="AX411" s="251"/>
      <c r="AY411" s="838">
        <f>AW411</f>
        <v>2763.5</v>
      </c>
      <c r="AZ411" s="838"/>
      <c r="BA411" s="840"/>
    </row>
    <row r="412" spans="2:53" s="179" customFormat="1">
      <c r="B412" s="191"/>
      <c r="C412" s="180" t="s">
        <v>1736</v>
      </c>
      <c r="D412" s="223"/>
      <c r="E412" s="193"/>
      <c r="F412" s="193"/>
      <c r="G412" s="183">
        <f>SUM(G409:G411)</f>
        <v>15687</v>
      </c>
      <c r="H412" s="742"/>
      <c r="I412" s="183">
        <f>SUM(I409:I411)</f>
        <v>0</v>
      </c>
      <c r="J412" s="732"/>
      <c r="K412" s="193"/>
      <c r="L412" s="193"/>
      <c r="M412" s="732"/>
      <c r="N412" s="183">
        <f>SUM(N409:N411)</f>
        <v>0</v>
      </c>
      <c r="O412" s="732"/>
      <c r="P412" s="193"/>
      <c r="Q412" s="193"/>
      <c r="R412" s="183">
        <f>SUM(R409:R411)</f>
        <v>15687</v>
      </c>
      <c r="S412" s="183">
        <f>SUM(S409:S411)</f>
        <v>1</v>
      </c>
      <c r="T412" s="183">
        <f>SUM(T409:T411)</f>
        <v>1</v>
      </c>
      <c r="U412" s="183"/>
      <c r="V412" s="742"/>
      <c r="W412" s="183"/>
      <c r="X412" s="742"/>
      <c r="Y412" s="742"/>
      <c r="Z412" s="183">
        <f t="shared" ref="Z412:AG412" si="512">SUM(Z409:Z411)</f>
        <v>4242.7999999999993</v>
      </c>
      <c r="AA412" s="183">
        <f t="shared" si="512"/>
        <v>1540.3999999999996</v>
      </c>
      <c r="AB412" s="183">
        <f t="shared" si="512"/>
        <v>14285.099999999999</v>
      </c>
      <c r="AC412" s="183">
        <f t="shared" si="512"/>
        <v>12714.900000000001</v>
      </c>
      <c r="AD412" s="183">
        <f t="shared" si="512"/>
        <v>27000</v>
      </c>
      <c r="AE412" s="183">
        <f t="shared" si="512"/>
        <v>27000</v>
      </c>
      <c r="AF412" s="183">
        <f t="shared" si="512"/>
        <v>12714.900000000001</v>
      </c>
      <c r="AG412" s="183">
        <f t="shared" si="512"/>
        <v>14200</v>
      </c>
      <c r="AH412" s="183">
        <f t="shared" ref="AH412:AV412" si="513">SUM(AH409:AH411)</f>
        <v>1455.2999999999993</v>
      </c>
      <c r="AI412" s="183">
        <f t="shared" si="513"/>
        <v>10160</v>
      </c>
      <c r="AJ412" s="183">
        <f t="shared" si="513"/>
        <v>10160</v>
      </c>
      <c r="AK412" s="183">
        <f t="shared" si="513"/>
        <v>10160</v>
      </c>
      <c r="AL412" s="183">
        <f t="shared" si="513"/>
        <v>10160</v>
      </c>
      <c r="AM412" s="183">
        <f t="shared" si="513"/>
        <v>0</v>
      </c>
      <c r="AN412" s="183">
        <f t="shared" si="513"/>
        <v>0</v>
      </c>
      <c r="AO412" s="183">
        <f t="shared" si="513"/>
        <v>2584.6999999999998</v>
      </c>
      <c r="AP412" s="183">
        <f t="shared" si="513"/>
        <v>1658.1</v>
      </c>
      <c r="AQ412" s="183">
        <f t="shared" si="513"/>
        <v>1540.3999999999996</v>
      </c>
      <c r="AR412" s="183">
        <f t="shared" si="513"/>
        <v>0</v>
      </c>
      <c r="AS412" s="183">
        <f t="shared" si="513"/>
        <v>0</v>
      </c>
      <c r="AT412" s="183">
        <f t="shared" si="513"/>
        <v>10160</v>
      </c>
      <c r="AU412" s="183">
        <f t="shared" si="513"/>
        <v>10160</v>
      </c>
      <c r="AV412" s="183">
        <f t="shared" si="513"/>
        <v>0</v>
      </c>
      <c r="AW412" s="183">
        <f>SUM(AW409:AW411)</f>
        <v>10160</v>
      </c>
      <c r="AX412" s="251"/>
      <c r="AY412" s="842"/>
      <c r="AZ412" s="838"/>
      <c r="BA412" s="842"/>
    </row>
    <row r="413" spans="2:53" s="179" customFormat="1">
      <c r="B413" s="180"/>
      <c r="C413" s="180"/>
      <c r="D413" s="188"/>
      <c r="E413" s="180"/>
      <c r="F413" s="180"/>
      <c r="G413" s="181">
        <f>G19+G27+G32+G42+G87+G127+G160+G180+G202+G224+G242+G288+G321+G344+G348+G367+G378+G396+G407+G412</f>
        <v>1452204.125</v>
      </c>
      <c r="H413" s="756"/>
      <c r="I413" s="181">
        <f>I19+I27+I32+I42+I87+I127+I160+I180+I202+I224+I242+I288+I321+I344+I348+I367+I378+I396+I407+I412</f>
        <v>14179.45</v>
      </c>
      <c r="J413" s="756"/>
      <c r="K413" s="181">
        <f>K19+K27+K32+K42+K87+K127+K160+K180+K202+K224+K242+K288+K321+K344+K348+K367+K378+K396+K407+K412</f>
        <v>35315.009999999995</v>
      </c>
      <c r="L413" s="181"/>
      <c r="M413" s="756"/>
      <c r="N413" s="181">
        <f>N19+N27+N32+N42+N87+N127+N160+N180+N202+N224+N242+N288+N321+N344+N348+N367+N378+N396+N407+N412</f>
        <v>10469.3685</v>
      </c>
      <c r="O413" s="756"/>
      <c r="P413" s="181">
        <f>P19+P27+P32+P42+P87+P127+P160+P180+P202+P224+P242+P288+P321+P344+P348+P367+P378+P396+P407+P412</f>
        <v>49691.115000000005</v>
      </c>
      <c r="Q413" s="181"/>
      <c r="R413" s="181">
        <f>R19+R27+R32+R42+R87+R127+R160+R180+R202+R224+R242+R288+R321+R344+R348+R367+R378+R396+R407+R412</f>
        <v>1586058.6374999997</v>
      </c>
      <c r="S413" s="182">
        <f>S19+S27+S32+S42+S87+S127+S160+S180+S202+S224+S242+S288+S321+S344+S348+S367+S378+S396+S407+S412</f>
        <v>224.75</v>
      </c>
      <c r="T413" s="182">
        <f>T19+T27+T32+T42+T87+T127+T160+T180+T202+T224+T242+T288+T321+T344+T348+T367+T378+T396+T407+T412</f>
        <v>16.5</v>
      </c>
      <c r="U413" s="181"/>
      <c r="V413" s="756"/>
      <c r="W413" s="181">
        <f>W19+W27+W32+W42+W87+W127+W160+W180+W202+W224+W242+W288+W321+W344+W348+W367+W378+W396+W407+W412</f>
        <v>18546.7</v>
      </c>
      <c r="X413" s="756"/>
      <c r="Y413" s="756"/>
      <c r="Z413" s="181">
        <f t="shared" ref="Z413:AV413" si="514">Z19+Z27+Z32+Z42+Z87+Z127+Z160+Z180+Z202+Z224+Z242+Z288+Z321+Z344+Z348+Z367+Z378+Z396+Z407+Z412</f>
        <v>280914.4166</v>
      </c>
      <c r="AA413" s="181">
        <f t="shared" si="514"/>
        <v>293655.81500000006</v>
      </c>
      <c r="AB413" s="181">
        <f t="shared" si="514"/>
        <v>1974889.3603500004</v>
      </c>
      <c r="AC413" s="181">
        <f>AC19+AC27+AC32+AC42+AC87+AC127+AC160+AC180+AC202+AC224+AC242+AC288+AC321+AC344+AC348+AC367+AC378+AC396+AC407+AC412</f>
        <v>1050290.1866000001</v>
      </c>
      <c r="AD413" s="181">
        <f t="shared" si="514"/>
        <v>3025179.5469499999</v>
      </c>
      <c r="AE413" s="181">
        <f t="shared" si="514"/>
        <v>3024828.920225</v>
      </c>
      <c r="AF413" s="181">
        <f t="shared" si="514"/>
        <v>1049939.559875</v>
      </c>
      <c r="AG413" s="181">
        <f>AG19+AG27+AG32+AG42+AG87+AG127+AG160+AG180+AG202+AG224+AG242+AG288+AG321+AG344+AG348+AG367+AG378+AG396+AG407+AG412</f>
        <v>1705775</v>
      </c>
      <c r="AH413" s="181">
        <f t="shared" si="514"/>
        <v>429654.28674999997</v>
      </c>
      <c r="AI413" s="181">
        <f t="shared" si="514"/>
        <v>1212298.625</v>
      </c>
      <c r="AJ413" s="181">
        <f t="shared" si="514"/>
        <v>112999.5</v>
      </c>
      <c r="AK413" s="181">
        <f t="shared" si="514"/>
        <v>1306721.2374999998</v>
      </c>
      <c r="AL413" s="181">
        <f t="shared" si="514"/>
        <v>116005.1875</v>
      </c>
      <c r="AM413" s="181">
        <f t="shared" si="514"/>
        <v>97471.299999999988</v>
      </c>
      <c r="AN413" s="181">
        <f t="shared" si="514"/>
        <v>2787.625</v>
      </c>
      <c r="AO413" s="181">
        <f t="shared" si="514"/>
        <v>237165.14535000001</v>
      </c>
      <c r="AP413" s="181">
        <f t="shared" si="514"/>
        <v>22314.401249999999</v>
      </c>
      <c r="AQ413" s="181">
        <f t="shared" si="514"/>
        <v>291759.81500000006</v>
      </c>
      <c r="AR413" s="181">
        <f t="shared" si="514"/>
        <v>18546.7</v>
      </c>
      <c r="AS413" s="181">
        <f t="shared" si="514"/>
        <v>0</v>
      </c>
      <c r="AT413" s="181">
        <f t="shared" si="514"/>
        <v>1302589.4249999998</v>
      </c>
      <c r="AU413" s="181">
        <f t="shared" si="514"/>
        <v>114333.375</v>
      </c>
      <c r="AV413" s="181">
        <f t="shared" si="514"/>
        <v>0</v>
      </c>
      <c r="AW413" s="181">
        <f>AW19+AW27+AW32+AW42+AW87+AW127+AW160+AW180+AW202+AW224+AW242+AW288+AW321+AW344+AW348+AW367+AW378+AW396+AW407+AW412</f>
        <v>1407007.6249999995</v>
      </c>
      <c r="AX413" s="181">
        <f>AX19+AX27+AX32+AX42+AX87+AX127+AX160+AX180+AX202+AX224+AX242+AX288+AX321+AX344+AX348+AX367+AX378+AX396+AX407+AX412</f>
        <v>103295.8735</v>
      </c>
      <c r="AY413" s="842"/>
      <c r="AZ413" s="838"/>
      <c r="BA413" s="842"/>
    </row>
    <row r="414" spans="2:53" s="78" customFormat="1">
      <c r="B414" s="180"/>
      <c r="C414" s="180"/>
      <c r="D414" s="188"/>
      <c r="E414" s="180"/>
      <c r="F414" s="180"/>
      <c r="G414" s="180"/>
      <c r="H414" s="757"/>
      <c r="I414" s="180"/>
      <c r="J414" s="757"/>
      <c r="K414" s="180"/>
      <c r="L414" s="180"/>
      <c r="M414" s="757"/>
      <c r="N414" s="180"/>
      <c r="O414" s="757"/>
      <c r="P414" s="180"/>
      <c r="Q414" s="180"/>
      <c r="R414" s="180"/>
      <c r="S414" s="180"/>
      <c r="T414" s="180"/>
      <c r="U414" s="180"/>
      <c r="V414" s="757"/>
      <c r="W414" s="180"/>
      <c r="X414" s="757"/>
      <c r="Y414" s="757"/>
      <c r="Z414" s="180"/>
      <c r="AA414" s="180"/>
      <c r="AB414" s="180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  <c r="AW414" s="178"/>
      <c r="AX414" s="178"/>
      <c r="AY414" s="842"/>
      <c r="AZ414" s="838"/>
      <c r="BA414" s="842"/>
    </row>
    <row r="415" spans="2:53" s="232" customFormat="1" ht="34.5">
      <c r="B415" s="229"/>
      <c r="C415" s="123" t="str">
        <f>C9</f>
        <v>АДМІНІСТРАЦІЯ</v>
      </c>
      <c r="D415" s="229"/>
      <c r="E415" s="229"/>
      <c r="F415" s="229"/>
      <c r="G415" s="229"/>
      <c r="H415" s="758"/>
      <c r="I415" s="229"/>
      <c r="J415" s="758"/>
      <c r="K415" s="229"/>
      <c r="L415" s="229"/>
      <c r="M415" s="758"/>
      <c r="N415" s="229"/>
      <c r="O415" s="758"/>
      <c r="P415" s="229"/>
      <c r="Q415" s="229"/>
      <c r="R415" s="229"/>
      <c r="S415" s="230">
        <f>S19</f>
        <v>6</v>
      </c>
      <c r="T415" s="230">
        <f>T19</f>
        <v>0</v>
      </c>
      <c r="U415" s="230"/>
      <c r="V415" s="752"/>
      <c r="W415" s="230"/>
      <c r="X415" s="752"/>
      <c r="Y415" s="752"/>
      <c r="Z415" s="230"/>
      <c r="AA415" s="230"/>
      <c r="AB415" s="231">
        <f t="shared" ref="AB415:AW415" si="515">AB19</f>
        <v>92033.417099999991</v>
      </c>
      <c r="AC415" s="231">
        <f t="shared" si="515"/>
        <v>5295.3033499999983</v>
      </c>
      <c r="AD415" s="231">
        <f t="shared" si="515"/>
        <v>97328.720449999993</v>
      </c>
      <c r="AE415" s="231">
        <f t="shared" si="515"/>
        <v>96978.093724999999</v>
      </c>
      <c r="AF415" s="231">
        <f t="shared" si="515"/>
        <v>4944.6766250000001</v>
      </c>
      <c r="AG415" s="231">
        <f t="shared" si="515"/>
        <v>42600</v>
      </c>
      <c r="AH415" s="231">
        <f t="shared" si="515"/>
        <v>2467</v>
      </c>
      <c r="AI415" s="231">
        <f t="shared" si="515"/>
        <v>59165.015000000007</v>
      </c>
      <c r="AJ415" s="231">
        <f t="shared" si="515"/>
        <v>0</v>
      </c>
      <c r="AK415" s="231">
        <f t="shared" si="515"/>
        <v>73198.225999999995</v>
      </c>
      <c r="AL415" s="231">
        <f t="shared" si="515"/>
        <v>0</v>
      </c>
      <c r="AM415" s="231">
        <f t="shared" si="515"/>
        <v>14033.210999999999</v>
      </c>
      <c r="AN415" s="231">
        <f t="shared" si="515"/>
        <v>0</v>
      </c>
      <c r="AO415" s="231">
        <f t="shared" si="515"/>
        <v>16368.191099999998</v>
      </c>
      <c r="AP415" s="231">
        <f t="shared" si="515"/>
        <v>0</v>
      </c>
      <c r="AQ415" s="231">
        <f t="shared" si="515"/>
        <v>2467</v>
      </c>
      <c r="AR415" s="231">
        <f t="shared" si="515"/>
        <v>0</v>
      </c>
      <c r="AS415" s="231">
        <f t="shared" si="515"/>
        <v>0</v>
      </c>
      <c r="AT415" s="231">
        <f t="shared" si="515"/>
        <v>73198.225999999995</v>
      </c>
      <c r="AU415" s="231">
        <f t="shared" si="515"/>
        <v>0</v>
      </c>
      <c r="AV415" s="231">
        <f t="shared" si="515"/>
        <v>0</v>
      </c>
      <c r="AW415" s="231">
        <f t="shared" si="515"/>
        <v>73198.225999999995</v>
      </c>
      <c r="AX415" s="229"/>
      <c r="AY415" s="840"/>
      <c r="AZ415" s="838"/>
      <c r="BA415" s="840"/>
    </row>
    <row r="416" spans="2:53" s="232" customFormat="1" ht="34.5">
      <c r="B416" s="229"/>
      <c r="C416" s="123" t="str">
        <f>C20</f>
        <v>БУХГАЛТЕРСЬКИЙ ВІДДІЛ</v>
      </c>
      <c r="D416" s="229"/>
      <c r="E416" s="229"/>
      <c r="F416" s="229"/>
      <c r="G416" s="229"/>
      <c r="H416" s="758"/>
      <c r="I416" s="229"/>
      <c r="J416" s="758"/>
      <c r="K416" s="229"/>
      <c r="L416" s="229"/>
      <c r="M416" s="758"/>
      <c r="N416" s="229"/>
      <c r="O416" s="758"/>
      <c r="P416" s="229"/>
      <c r="Q416" s="229"/>
      <c r="R416" s="229"/>
      <c r="S416" s="230">
        <f>S27</f>
        <v>5</v>
      </c>
      <c r="T416" s="230">
        <f>T27</f>
        <v>0.5</v>
      </c>
      <c r="U416" s="230"/>
      <c r="V416" s="752"/>
      <c r="W416" s="230"/>
      <c r="X416" s="752"/>
      <c r="Y416" s="752"/>
      <c r="Z416" s="230"/>
      <c r="AA416" s="230"/>
      <c r="AB416" s="231">
        <f t="shared" ref="AB416:AV416" si="516">AB27</f>
        <v>44554.126499999998</v>
      </c>
      <c r="AC416" s="231">
        <f t="shared" si="516"/>
        <v>0</v>
      </c>
      <c r="AD416" s="231">
        <f t="shared" si="516"/>
        <v>44554.126499999998</v>
      </c>
      <c r="AE416" s="231">
        <f t="shared" si="516"/>
        <v>44554.126499999998</v>
      </c>
      <c r="AF416" s="231">
        <f t="shared" si="516"/>
        <v>0</v>
      </c>
      <c r="AG416" s="231">
        <f t="shared" si="516"/>
        <v>39050</v>
      </c>
      <c r="AH416" s="231">
        <f t="shared" si="516"/>
        <v>10224.5</v>
      </c>
      <c r="AI416" s="231">
        <f t="shared" si="516"/>
        <v>32685.61</v>
      </c>
      <c r="AJ416" s="231">
        <f t="shared" si="516"/>
        <v>6965.5</v>
      </c>
      <c r="AK416" s="231">
        <f t="shared" si="516"/>
        <v>34329.626499999998</v>
      </c>
      <c r="AL416" s="231">
        <f t="shared" si="516"/>
        <v>2907.5</v>
      </c>
      <c r="AM416" s="231">
        <f t="shared" si="516"/>
        <v>1644.0164999999997</v>
      </c>
      <c r="AN416" s="231">
        <f t="shared" si="516"/>
        <v>-4058</v>
      </c>
      <c r="AO416" s="231">
        <f t="shared" si="516"/>
        <v>0</v>
      </c>
      <c r="AP416" s="231">
        <f t="shared" si="516"/>
        <v>0</v>
      </c>
      <c r="AQ416" s="231">
        <f t="shared" si="516"/>
        <v>10224.5</v>
      </c>
      <c r="AR416" s="231">
        <f t="shared" si="516"/>
        <v>0</v>
      </c>
      <c r="AS416" s="231">
        <f t="shared" si="516"/>
        <v>0</v>
      </c>
      <c r="AT416" s="231">
        <f t="shared" si="516"/>
        <v>34329.626499999998</v>
      </c>
      <c r="AU416" s="231">
        <f t="shared" si="516"/>
        <v>2907.5</v>
      </c>
      <c r="AV416" s="231">
        <f t="shared" si="516"/>
        <v>0</v>
      </c>
      <c r="AW416" s="231">
        <f>AW27</f>
        <v>34329.626499999998</v>
      </c>
      <c r="AX416" s="229"/>
      <c r="AY416" s="840"/>
      <c r="AZ416" s="838"/>
      <c r="BA416" s="840"/>
    </row>
    <row r="417" spans="2:53" s="232" customFormat="1" ht="34.5">
      <c r="B417" s="229"/>
      <c r="C417" s="123" t="str">
        <f>C28</f>
        <v>ІНФОРМАЦІЙНО - АНАЛІТИЧНИЙ ВІДДІЛ</v>
      </c>
      <c r="D417" s="229"/>
      <c r="E417" s="229"/>
      <c r="F417" s="229"/>
      <c r="G417" s="229"/>
      <c r="H417" s="758"/>
      <c r="I417" s="229"/>
      <c r="J417" s="758"/>
      <c r="K417" s="229"/>
      <c r="L417" s="229"/>
      <c r="M417" s="758"/>
      <c r="N417" s="229"/>
      <c r="O417" s="758"/>
      <c r="P417" s="229"/>
      <c r="Q417" s="229"/>
      <c r="R417" s="229"/>
      <c r="S417" s="230">
        <f>S32</f>
        <v>2</v>
      </c>
      <c r="T417" s="230">
        <f>T32</f>
        <v>0.5</v>
      </c>
      <c r="U417" s="230"/>
      <c r="V417" s="752"/>
      <c r="W417" s="230"/>
      <c r="X417" s="752"/>
      <c r="Y417" s="752"/>
      <c r="Z417" s="230"/>
      <c r="AA417" s="230"/>
      <c r="AB417" s="231">
        <f t="shared" ref="AB417:AW417" si="517">AB32</f>
        <v>17750</v>
      </c>
      <c r="AC417" s="231">
        <f t="shared" si="517"/>
        <v>3200</v>
      </c>
      <c r="AD417" s="231">
        <f t="shared" si="517"/>
        <v>20950</v>
      </c>
      <c r="AE417" s="231">
        <f t="shared" si="517"/>
        <v>20950</v>
      </c>
      <c r="AF417" s="231">
        <f t="shared" si="517"/>
        <v>3200</v>
      </c>
      <c r="AG417" s="231">
        <f t="shared" si="517"/>
        <v>17750</v>
      </c>
      <c r="AH417" s="231">
        <f t="shared" si="517"/>
        <v>5341</v>
      </c>
      <c r="AI417" s="231">
        <f t="shared" si="517"/>
        <v>11885</v>
      </c>
      <c r="AJ417" s="231">
        <f t="shared" si="517"/>
        <v>2620</v>
      </c>
      <c r="AK417" s="231">
        <f t="shared" si="517"/>
        <v>9265</v>
      </c>
      <c r="AL417" s="231">
        <f t="shared" si="517"/>
        <v>2620</v>
      </c>
      <c r="AM417" s="231">
        <f t="shared" si="517"/>
        <v>-2620</v>
      </c>
      <c r="AN417" s="231">
        <f t="shared" si="517"/>
        <v>0</v>
      </c>
      <c r="AO417" s="231">
        <f t="shared" si="517"/>
        <v>524</v>
      </c>
      <c r="AP417" s="231">
        <f t="shared" si="517"/>
        <v>524</v>
      </c>
      <c r="AQ417" s="231">
        <f t="shared" si="517"/>
        <v>5341</v>
      </c>
      <c r="AR417" s="231">
        <f t="shared" si="517"/>
        <v>0</v>
      </c>
      <c r="AS417" s="231">
        <f t="shared" si="517"/>
        <v>0</v>
      </c>
      <c r="AT417" s="231">
        <f t="shared" si="517"/>
        <v>9265</v>
      </c>
      <c r="AU417" s="231">
        <f t="shared" si="517"/>
        <v>2620</v>
      </c>
      <c r="AV417" s="231">
        <f t="shared" si="517"/>
        <v>0</v>
      </c>
      <c r="AW417" s="231">
        <f t="shared" si="517"/>
        <v>11885</v>
      </c>
      <c r="AX417" s="229"/>
      <c r="AY417" s="840"/>
      <c r="AZ417" s="838"/>
      <c r="BA417" s="840"/>
    </row>
    <row r="418" spans="2:53" s="232" customFormat="1" ht="52.5">
      <c r="B418" s="229"/>
      <c r="C418" s="123" t="str">
        <f>C33</f>
        <v>ВІДДІЛ ПРАЦІ ТА СОЦІАЛЬНО-ПРАВОВОГО ЗАБЕЗПЕЧЕННЯ</v>
      </c>
      <c r="D418" s="229"/>
      <c r="E418" s="229"/>
      <c r="F418" s="229"/>
      <c r="G418" s="229"/>
      <c r="H418" s="758"/>
      <c r="I418" s="229"/>
      <c r="J418" s="758"/>
      <c r="K418" s="229"/>
      <c r="L418" s="229"/>
      <c r="M418" s="758"/>
      <c r="N418" s="229"/>
      <c r="O418" s="758"/>
      <c r="P418" s="229"/>
      <c r="Q418" s="229"/>
      <c r="R418" s="229"/>
      <c r="S418" s="230">
        <f>S42</f>
        <v>4.5</v>
      </c>
      <c r="T418" s="230">
        <f>T42</f>
        <v>1</v>
      </c>
      <c r="U418" s="230"/>
      <c r="V418" s="752"/>
      <c r="W418" s="230"/>
      <c r="X418" s="752"/>
      <c r="Y418" s="752"/>
      <c r="Z418" s="230"/>
      <c r="AA418" s="230"/>
      <c r="AB418" s="231">
        <f t="shared" ref="AB418:AW418" si="518">AB42</f>
        <v>39050</v>
      </c>
      <c r="AC418" s="231">
        <f t="shared" si="518"/>
        <v>0</v>
      </c>
      <c r="AD418" s="231">
        <f t="shared" si="518"/>
        <v>39050</v>
      </c>
      <c r="AE418" s="231">
        <f t="shared" si="518"/>
        <v>39050</v>
      </c>
      <c r="AF418" s="231">
        <f t="shared" si="518"/>
        <v>0</v>
      </c>
      <c r="AG418" s="231">
        <f t="shared" si="518"/>
        <v>39050</v>
      </c>
      <c r="AH418" s="231">
        <f t="shared" si="518"/>
        <v>9960.5</v>
      </c>
      <c r="AI418" s="231">
        <f t="shared" si="518"/>
        <v>29089.5</v>
      </c>
      <c r="AJ418" s="231">
        <f t="shared" si="518"/>
        <v>10527</v>
      </c>
      <c r="AK418" s="231">
        <f t="shared" si="518"/>
        <v>29089.5</v>
      </c>
      <c r="AL418" s="231">
        <f t="shared" si="518"/>
        <v>4920</v>
      </c>
      <c r="AM418" s="231">
        <f t="shared" si="518"/>
        <v>0</v>
      </c>
      <c r="AN418" s="231">
        <f t="shared" si="518"/>
        <v>-5607</v>
      </c>
      <c r="AO418" s="231">
        <f t="shared" si="518"/>
        <v>0</v>
      </c>
      <c r="AP418" s="231">
        <f t="shared" si="518"/>
        <v>0</v>
      </c>
      <c r="AQ418" s="231">
        <f t="shared" si="518"/>
        <v>8870.5</v>
      </c>
      <c r="AR418" s="231">
        <f t="shared" si="518"/>
        <v>0</v>
      </c>
      <c r="AS418" s="231">
        <f t="shared" si="518"/>
        <v>0</v>
      </c>
      <c r="AT418" s="231">
        <f t="shared" si="518"/>
        <v>26629.5</v>
      </c>
      <c r="AU418" s="231">
        <f t="shared" si="518"/>
        <v>4920</v>
      </c>
      <c r="AV418" s="231">
        <f t="shared" si="518"/>
        <v>0</v>
      </c>
      <c r="AW418" s="231">
        <f t="shared" si="518"/>
        <v>29089.5</v>
      </c>
      <c r="AX418" s="229"/>
      <c r="AY418" s="840"/>
      <c r="AZ418" s="838"/>
      <c r="BA418" s="840"/>
    </row>
    <row r="419" spans="2:53" s="232" customFormat="1" ht="34.5">
      <c r="B419" s="229"/>
      <c r="C419" s="123" t="str">
        <f>C43</f>
        <v>ГОСПОДАРСЬКИЙ ВІДДІЛ</v>
      </c>
      <c r="D419" s="229"/>
      <c r="E419" s="229"/>
      <c r="F419" s="229"/>
      <c r="G419" s="229"/>
      <c r="H419" s="758"/>
      <c r="I419" s="229"/>
      <c r="J419" s="758"/>
      <c r="K419" s="229"/>
      <c r="L419" s="229"/>
      <c r="M419" s="758"/>
      <c r="N419" s="229"/>
      <c r="O419" s="758"/>
      <c r="P419" s="229"/>
      <c r="Q419" s="229"/>
      <c r="R419" s="229"/>
      <c r="S419" s="233">
        <f>S87</f>
        <v>30.5</v>
      </c>
      <c r="T419" s="233">
        <f>T87</f>
        <v>3</v>
      </c>
      <c r="U419" s="233"/>
      <c r="V419" s="747"/>
      <c r="W419" s="233"/>
      <c r="X419" s="747"/>
      <c r="Y419" s="747"/>
      <c r="Z419" s="233"/>
      <c r="AA419" s="233"/>
      <c r="AB419" s="231">
        <f t="shared" ref="AB419:AW419" si="519">AB87</f>
        <v>239128</v>
      </c>
      <c r="AC419" s="231">
        <f t="shared" si="519"/>
        <v>0</v>
      </c>
      <c r="AD419" s="231">
        <f t="shared" si="519"/>
        <v>239128</v>
      </c>
      <c r="AE419" s="231">
        <f t="shared" si="519"/>
        <v>239128</v>
      </c>
      <c r="AF419" s="231">
        <f t="shared" si="519"/>
        <v>0</v>
      </c>
      <c r="AG419" s="231">
        <f t="shared" si="519"/>
        <v>237850</v>
      </c>
      <c r="AH419" s="231">
        <f t="shared" si="519"/>
        <v>105308.6</v>
      </c>
      <c r="AI419" s="231">
        <f t="shared" si="519"/>
        <v>119493</v>
      </c>
      <c r="AJ419" s="231">
        <f t="shared" si="519"/>
        <v>11741.5</v>
      </c>
      <c r="AK419" s="231">
        <f t="shared" si="519"/>
        <v>124074.6</v>
      </c>
      <c r="AL419" s="231">
        <f t="shared" si="519"/>
        <v>12901.3</v>
      </c>
      <c r="AM419" s="231">
        <f t="shared" si="519"/>
        <v>4581.6000000000004</v>
      </c>
      <c r="AN419" s="231">
        <f t="shared" si="519"/>
        <v>1159.8000000000002</v>
      </c>
      <c r="AO419" s="231">
        <f t="shared" si="519"/>
        <v>0</v>
      </c>
      <c r="AP419" s="231">
        <f t="shared" si="519"/>
        <v>0</v>
      </c>
      <c r="AQ419" s="231">
        <f t="shared" si="519"/>
        <v>105308.6</v>
      </c>
      <c r="AR419" s="231">
        <f t="shared" si="519"/>
        <v>1278</v>
      </c>
      <c r="AS419" s="231">
        <f t="shared" si="519"/>
        <v>0</v>
      </c>
      <c r="AT419" s="231">
        <f t="shared" si="519"/>
        <v>124074.6</v>
      </c>
      <c r="AU419" s="231">
        <f t="shared" si="519"/>
        <v>12901.3</v>
      </c>
      <c r="AV419" s="231">
        <f t="shared" si="519"/>
        <v>0</v>
      </c>
      <c r="AW419" s="231">
        <f t="shared" si="519"/>
        <v>132541.4</v>
      </c>
      <c r="AX419" s="229"/>
      <c r="AY419" s="840"/>
      <c r="AZ419" s="838"/>
      <c r="BA419" s="840"/>
    </row>
    <row r="420" spans="2:53" s="232" customFormat="1" ht="34.5">
      <c r="B420" s="229"/>
      <c r="C420" s="123" t="str">
        <f>C88</f>
        <v>ПОЛІКЛІНІКА</v>
      </c>
      <c r="D420" s="229"/>
      <c r="E420" s="229"/>
      <c r="F420" s="229"/>
      <c r="G420" s="229"/>
      <c r="H420" s="758"/>
      <c r="I420" s="229"/>
      <c r="J420" s="758"/>
      <c r="K420" s="229"/>
      <c r="L420" s="229"/>
      <c r="M420" s="758"/>
      <c r="N420" s="229"/>
      <c r="O420" s="758"/>
      <c r="P420" s="229"/>
      <c r="Q420" s="229"/>
      <c r="R420" s="229"/>
      <c r="S420" s="230">
        <f>S127</f>
        <v>24.5</v>
      </c>
      <c r="T420" s="230">
        <f>T127</f>
        <v>2.5</v>
      </c>
      <c r="U420" s="230"/>
      <c r="V420" s="752"/>
      <c r="W420" s="230"/>
      <c r="X420" s="752"/>
      <c r="Y420" s="752"/>
      <c r="Z420" s="230"/>
      <c r="AA420" s="230"/>
      <c r="AB420" s="231">
        <f t="shared" ref="AB420:AW420" si="520">AB127</f>
        <v>226601.85625000001</v>
      </c>
      <c r="AC420" s="231">
        <f t="shared" si="520"/>
        <v>241898.14374999999</v>
      </c>
      <c r="AD420" s="231">
        <f t="shared" si="520"/>
        <v>468500</v>
      </c>
      <c r="AE420" s="231">
        <f t="shared" si="520"/>
        <v>468500</v>
      </c>
      <c r="AF420" s="231">
        <f t="shared" si="520"/>
        <v>241898.14374999999</v>
      </c>
      <c r="AG420" s="231">
        <f t="shared" si="520"/>
        <v>191700</v>
      </c>
      <c r="AH420" s="231">
        <f t="shared" si="520"/>
        <v>30679.433749999997</v>
      </c>
      <c r="AI420" s="231">
        <f t="shared" si="520"/>
        <v>152496.25</v>
      </c>
      <c r="AJ420" s="231">
        <f t="shared" si="520"/>
        <v>15240</v>
      </c>
      <c r="AK420" s="231">
        <f t="shared" si="520"/>
        <v>155136.26250000001</v>
      </c>
      <c r="AL420" s="231">
        <f t="shared" si="520"/>
        <v>16891.412500000002</v>
      </c>
      <c r="AM420" s="231">
        <f t="shared" si="520"/>
        <v>5688.7000000000025</v>
      </c>
      <c r="AN420" s="231">
        <f t="shared" si="520"/>
        <v>1433.35</v>
      </c>
      <c r="AO420" s="231">
        <f t="shared" si="520"/>
        <v>35205.4375</v>
      </c>
      <c r="AP420" s="231">
        <f t="shared" si="520"/>
        <v>4176.4324999999999</v>
      </c>
      <c r="AQ420" s="231">
        <f t="shared" si="520"/>
        <v>8301.7000000000007</v>
      </c>
      <c r="AR420" s="231">
        <f t="shared" si="520"/>
        <v>0</v>
      </c>
      <c r="AS420" s="231">
        <f t="shared" si="520"/>
        <v>0</v>
      </c>
      <c r="AT420" s="231">
        <f t="shared" si="520"/>
        <v>153464.45000000001</v>
      </c>
      <c r="AU420" s="231">
        <f t="shared" si="520"/>
        <v>15219.599999999999</v>
      </c>
      <c r="AV420" s="231">
        <f t="shared" si="520"/>
        <v>0</v>
      </c>
      <c r="AW420" s="231">
        <f t="shared" si="520"/>
        <v>178180.02499999999</v>
      </c>
      <c r="AX420" s="229"/>
      <c r="AY420" s="840"/>
      <c r="AZ420" s="838"/>
      <c r="BA420" s="840"/>
    </row>
    <row r="421" spans="2:53" s="232" customFormat="1" ht="34.5">
      <c r="B421" s="229"/>
      <c r="C421" s="123" t="str">
        <f>C129</f>
        <v xml:space="preserve">АКУШЕРСЬКО-ГІНЕКОЛОГІЧНЕ ВІДДІЛЕННЯ </v>
      </c>
      <c r="D421" s="229"/>
      <c r="E421" s="229"/>
      <c r="F421" s="229"/>
      <c r="G421" s="229"/>
      <c r="H421" s="758"/>
      <c r="I421" s="229"/>
      <c r="J421" s="758"/>
      <c r="K421" s="229"/>
      <c r="L421" s="229"/>
      <c r="M421" s="758"/>
      <c r="N421" s="229"/>
      <c r="O421" s="758"/>
      <c r="P421" s="229"/>
      <c r="Q421" s="229"/>
      <c r="R421" s="229"/>
      <c r="S421" s="230">
        <f>S160</f>
        <v>18</v>
      </c>
      <c r="T421" s="230">
        <f>T160</f>
        <v>2</v>
      </c>
      <c r="U421" s="230"/>
      <c r="V421" s="752"/>
      <c r="W421" s="230"/>
      <c r="X421" s="752"/>
      <c r="Y421" s="752"/>
      <c r="Z421" s="230"/>
      <c r="AA421" s="230"/>
      <c r="AB421" s="231">
        <f t="shared" ref="AB421:AW421" si="521">AB160</f>
        <v>169844.2855</v>
      </c>
      <c r="AC421" s="231">
        <f t="shared" si="521"/>
        <v>102540.7145</v>
      </c>
      <c r="AD421" s="231">
        <f t="shared" si="521"/>
        <v>272385</v>
      </c>
      <c r="AE421" s="231">
        <f t="shared" si="521"/>
        <v>272385</v>
      </c>
      <c r="AF421" s="231">
        <f t="shared" si="521"/>
        <v>102540.7145</v>
      </c>
      <c r="AG421" s="231">
        <f t="shared" si="521"/>
        <v>134900</v>
      </c>
      <c r="AH421" s="231">
        <f t="shared" si="521"/>
        <v>45314.235500000003</v>
      </c>
      <c r="AI421" s="231">
        <f t="shared" si="521"/>
        <v>97032</v>
      </c>
      <c r="AJ421" s="231">
        <f t="shared" si="521"/>
        <v>14745.25</v>
      </c>
      <c r="AK421" s="231">
        <f t="shared" si="521"/>
        <v>105388.86</v>
      </c>
      <c r="AL421" s="231">
        <f t="shared" si="521"/>
        <v>18104.849999999999</v>
      </c>
      <c r="AM421" s="231">
        <f t="shared" si="521"/>
        <v>8356.86</v>
      </c>
      <c r="AN421" s="231">
        <f t="shared" si="521"/>
        <v>3359.6000000000004</v>
      </c>
      <c r="AO421" s="231">
        <f t="shared" si="521"/>
        <v>23114.318000000003</v>
      </c>
      <c r="AP421" s="231">
        <f t="shared" si="521"/>
        <v>4579.2575000000006</v>
      </c>
      <c r="AQ421" s="231">
        <f t="shared" si="521"/>
        <v>16772</v>
      </c>
      <c r="AR421" s="231">
        <f t="shared" si="521"/>
        <v>1885</v>
      </c>
      <c r="AS421" s="231">
        <f t="shared" si="521"/>
        <v>0</v>
      </c>
      <c r="AT421" s="231">
        <f t="shared" si="521"/>
        <v>105388.86</v>
      </c>
      <c r="AU421" s="231">
        <f t="shared" si="521"/>
        <v>18104.849999999999</v>
      </c>
      <c r="AV421" s="231">
        <f t="shared" si="521"/>
        <v>0</v>
      </c>
      <c r="AW421" s="231">
        <f t="shared" si="521"/>
        <v>123493.70999999999</v>
      </c>
      <c r="AX421" s="229"/>
      <c r="AY421" s="840"/>
      <c r="AZ421" s="838"/>
      <c r="BA421" s="840"/>
    </row>
    <row r="422" spans="2:53" s="232" customFormat="1" ht="34.5">
      <c r="B422" s="229"/>
      <c r="C422" s="123" t="str">
        <f>C161</f>
        <v>ІНФЕКЦІЙНЕ ВІДДІЛЕННЯ</v>
      </c>
      <c r="D422" s="229"/>
      <c r="E422" s="229"/>
      <c r="F422" s="229"/>
      <c r="G422" s="229"/>
      <c r="H422" s="758"/>
      <c r="I422" s="229"/>
      <c r="J422" s="758"/>
      <c r="K422" s="229"/>
      <c r="L422" s="229"/>
      <c r="M422" s="758"/>
      <c r="N422" s="229"/>
      <c r="O422" s="758"/>
      <c r="P422" s="229"/>
      <c r="Q422" s="229"/>
      <c r="R422" s="229"/>
      <c r="S422" s="230">
        <f>S180</f>
        <v>11.75</v>
      </c>
      <c r="T422" s="230">
        <f>T180</f>
        <v>0</v>
      </c>
      <c r="U422" s="230"/>
      <c r="V422" s="752"/>
      <c r="W422" s="230"/>
      <c r="X422" s="752"/>
      <c r="Y422" s="752"/>
      <c r="Z422" s="230"/>
      <c r="AA422" s="230"/>
      <c r="AB422" s="231">
        <f t="shared" ref="AB422:AW422" si="522">AB180</f>
        <v>94345.701249999998</v>
      </c>
      <c r="AC422" s="231">
        <f t="shared" si="522"/>
        <v>39322.048750000002</v>
      </c>
      <c r="AD422" s="231">
        <f t="shared" si="522"/>
        <v>133667.75</v>
      </c>
      <c r="AE422" s="231">
        <f t="shared" si="522"/>
        <v>133667.75</v>
      </c>
      <c r="AF422" s="231">
        <f t="shared" si="522"/>
        <v>39322.048750000002</v>
      </c>
      <c r="AG422" s="231">
        <f t="shared" si="522"/>
        <v>83425</v>
      </c>
      <c r="AH422" s="231">
        <f t="shared" si="522"/>
        <v>15335.86125</v>
      </c>
      <c r="AI422" s="231">
        <f t="shared" si="522"/>
        <v>57164.75</v>
      </c>
      <c r="AJ422" s="231">
        <f t="shared" si="522"/>
        <v>0</v>
      </c>
      <c r="AK422" s="231">
        <f t="shared" si="522"/>
        <v>65739.462499999994</v>
      </c>
      <c r="AL422" s="231">
        <f t="shared" si="522"/>
        <v>0</v>
      </c>
      <c r="AM422" s="231">
        <f t="shared" si="522"/>
        <v>8574.7125000000015</v>
      </c>
      <c r="AN422" s="231">
        <f t="shared" si="522"/>
        <v>0</v>
      </c>
      <c r="AO422" s="231">
        <f t="shared" si="522"/>
        <v>12615.988750000002</v>
      </c>
      <c r="AP422" s="231">
        <f t="shared" si="522"/>
        <v>0</v>
      </c>
      <c r="AQ422" s="231">
        <f t="shared" si="522"/>
        <v>13822.5</v>
      </c>
      <c r="AR422" s="231">
        <f t="shared" si="522"/>
        <v>2167.75</v>
      </c>
      <c r="AS422" s="231">
        <f t="shared" si="522"/>
        <v>0</v>
      </c>
      <c r="AT422" s="231">
        <f t="shared" si="522"/>
        <v>65739.462499999994</v>
      </c>
      <c r="AU422" s="231">
        <f t="shared" si="522"/>
        <v>0</v>
      </c>
      <c r="AV422" s="231">
        <f t="shared" si="522"/>
        <v>0</v>
      </c>
      <c r="AW422" s="231">
        <f t="shared" si="522"/>
        <v>65739.462499999994</v>
      </c>
      <c r="AX422" s="229"/>
      <c r="AY422" s="840"/>
      <c r="AZ422" s="838"/>
      <c r="BA422" s="840"/>
    </row>
    <row r="423" spans="2:53" s="232" customFormat="1" ht="34.5">
      <c r="B423" s="229"/>
      <c r="C423" s="123" t="str">
        <f>C181</f>
        <v xml:space="preserve">НЕВРОЛОГІЧНЕ ВІДДІЛЕННЯ </v>
      </c>
      <c r="D423" s="229"/>
      <c r="E423" s="229"/>
      <c r="F423" s="229"/>
      <c r="G423" s="229"/>
      <c r="H423" s="758"/>
      <c r="I423" s="229"/>
      <c r="J423" s="758"/>
      <c r="K423" s="229"/>
      <c r="L423" s="229"/>
      <c r="M423" s="758"/>
      <c r="N423" s="229"/>
      <c r="O423" s="758"/>
      <c r="P423" s="229"/>
      <c r="Q423" s="229"/>
      <c r="R423" s="229"/>
      <c r="S423" s="230">
        <f>S202</f>
        <v>14</v>
      </c>
      <c r="T423" s="230">
        <f>T202</f>
        <v>0</v>
      </c>
      <c r="U423" s="230"/>
      <c r="V423" s="752"/>
      <c r="W423" s="230"/>
      <c r="X423" s="752"/>
      <c r="Y423" s="752"/>
      <c r="Z423" s="230"/>
      <c r="AA423" s="230"/>
      <c r="AB423" s="231">
        <f t="shared" ref="AB423:AW423" si="523">AB202</f>
        <v>107534.19</v>
      </c>
      <c r="AC423" s="231">
        <f t="shared" si="523"/>
        <v>64350.81</v>
      </c>
      <c r="AD423" s="231">
        <f t="shared" si="523"/>
        <v>171885</v>
      </c>
      <c r="AE423" s="231">
        <f t="shared" si="523"/>
        <v>171885</v>
      </c>
      <c r="AF423" s="231">
        <f t="shared" si="523"/>
        <v>64350.81</v>
      </c>
      <c r="AG423" s="231">
        <f t="shared" si="523"/>
        <v>99400</v>
      </c>
      <c r="AH423" s="231">
        <f t="shared" si="523"/>
        <v>23693.79</v>
      </c>
      <c r="AI423" s="231">
        <f t="shared" si="523"/>
        <v>71184</v>
      </c>
      <c r="AJ423" s="231">
        <f t="shared" si="523"/>
        <v>0</v>
      </c>
      <c r="AK423" s="231">
        <f t="shared" si="523"/>
        <v>72433.3</v>
      </c>
      <c r="AL423" s="231">
        <f t="shared" si="523"/>
        <v>0</v>
      </c>
      <c r="AM423" s="231">
        <f t="shared" si="523"/>
        <v>1249.3000000000002</v>
      </c>
      <c r="AN423" s="231">
        <f t="shared" si="523"/>
        <v>0</v>
      </c>
      <c r="AO423" s="231">
        <f t="shared" si="523"/>
        <v>14474.29</v>
      </c>
      <c r="AP423" s="231">
        <f t="shared" si="523"/>
        <v>0</v>
      </c>
      <c r="AQ423" s="231">
        <f t="shared" si="523"/>
        <v>18741.599999999999</v>
      </c>
      <c r="AR423" s="231">
        <f t="shared" si="523"/>
        <v>1885</v>
      </c>
      <c r="AS423" s="231">
        <f t="shared" si="523"/>
        <v>0</v>
      </c>
      <c r="AT423" s="231">
        <f t="shared" si="523"/>
        <v>72433.3</v>
      </c>
      <c r="AU423" s="231">
        <f t="shared" si="523"/>
        <v>0</v>
      </c>
      <c r="AV423" s="231">
        <f t="shared" si="523"/>
        <v>0</v>
      </c>
      <c r="AW423" s="231">
        <f t="shared" si="523"/>
        <v>72433.3</v>
      </c>
      <c r="AX423" s="229"/>
      <c r="AY423" s="840"/>
      <c r="AZ423" s="838"/>
      <c r="BA423" s="840"/>
    </row>
    <row r="424" spans="2:53" s="232" customFormat="1" ht="34.5">
      <c r="B424" s="229"/>
      <c r="C424" s="123" t="str">
        <f>C203</f>
        <v xml:space="preserve">ТЕРАПЕВТИЧНЕ ВІДДІЛЕННЯ </v>
      </c>
      <c r="D424" s="229"/>
      <c r="E424" s="229"/>
      <c r="F424" s="229"/>
      <c r="G424" s="229"/>
      <c r="H424" s="758"/>
      <c r="I424" s="229"/>
      <c r="J424" s="758"/>
      <c r="K424" s="229"/>
      <c r="L424" s="229"/>
      <c r="M424" s="758"/>
      <c r="N424" s="229"/>
      <c r="O424" s="758"/>
      <c r="P424" s="229"/>
      <c r="Q424" s="229"/>
      <c r="R424" s="229"/>
      <c r="S424" s="230">
        <f>S224</f>
        <v>14</v>
      </c>
      <c r="T424" s="230">
        <f>T224</f>
        <v>0</v>
      </c>
      <c r="U424" s="230"/>
      <c r="V424" s="752"/>
      <c r="W424" s="230"/>
      <c r="X424" s="752"/>
      <c r="Y424" s="752"/>
      <c r="Z424" s="230"/>
      <c r="AA424" s="230"/>
      <c r="AB424" s="231">
        <f t="shared" ref="AB424:AW424" si="524">AB224</f>
        <v>107490.79999999999</v>
      </c>
      <c r="AC424" s="231">
        <f t="shared" si="524"/>
        <v>64394.200000000004</v>
      </c>
      <c r="AD424" s="231">
        <f t="shared" si="524"/>
        <v>171885</v>
      </c>
      <c r="AE424" s="231">
        <f t="shared" si="524"/>
        <v>171885</v>
      </c>
      <c r="AF424" s="231">
        <f t="shared" si="524"/>
        <v>64394.200000000004</v>
      </c>
      <c r="AG424" s="231">
        <f t="shared" si="524"/>
        <v>99400</v>
      </c>
      <c r="AH424" s="231">
        <f t="shared" si="524"/>
        <v>21668.79</v>
      </c>
      <c r="AI424" s="231">
        <f t="shared" si="524"/>
        <v>71565</v>
      </c>
      <c r="AJ424" s="231">
        <f t="shared" si="524"/>
        <v>0</v>
      </c>
      <c r="AK424" s="231">
        <f t="shared" si="524"/>
        <v>72843</v>
      </c>
      <c r="AL424" s="231">
        <f t="shared" si="524"/>
        <v>0</v>
      </c>
      <c r="AM424" s="231">
        <f t="shared" si="524"/>
        <v>1278</v>
      </c>
      <c r="AN424" s="231">
        <f t="shared" si="524"/>
        <v>0</v>
      </c>
      <c r="AO424" s="231">
        <f t="shared" si="524"/>
        <v>15645.2</v>
      </c>
      <c r="AP424" s="231">
        <f t="shared" si="524"/>
        <v>0</v>
      </c>
      <c r="AQ424" s="231">
        <f t="shared" si="524"/>
        <v>17117.599999999999</v>
      </c>
      <c r="AR424" s="231">
        <f t="shared" si="524"/>
        <v>1885</v>
      </c>
      <c r="AS424" s="231">
        <f t="shared" si="524"/>
        <v>0</v>
      </c>
      <c r="AT424" s="231">
        <f t="shared" si="524"/>
        <v>72843</v>
      </c>
      <c r="AU424" s="231">
        <f t="shared" si="524"/>
        <v>0</v>
      </c>
      <c r="AV424" s="231">
        <f t="shared" si="524"/>
        <v>0</v>
      </c>
      <c r="AW424" s="231">
        <f t="shared" si="524"/>
        <v>72843</v>
      </c>
      <c r="AX424" s="229"/>
      <c r="AY424" s="840"/>
      <c r="AZ424" s="838"/>
      <c r="BA424" s="840"/>
    </row>
    <row r="425" spans="2:53" s="232" customFormat="1" ht="34.5">
      <c r="B425" s="229"/>
      <c r="C425" s="123" t="str">
        <f>C225</f>
        <v xml:space="preserve">ПЕДІАТРИЧНЕ ВІДДІЛЕННЯ  </v>
      </c>
      <c r="D425" s="229"/>
      <c r="E425" s="229"/>
      <c r="F425" s="229"/>
      <c r="G425" s="229"/>
      <c r="H425" s="758"/>
      <c r="I425" s="229"/>
      <c r="J425" s="758"/>
      <c r="K425" s="229"/>
      <c r="L425" s="229"/>
      <c r="M425" s="758"/>
      <c r="N425" s="229"/>
      <c r="O425" s="758"/>
      <c r="P425" s="229"/>
      <c r="Q425" s="229"/>
      <c r="R425" s="229"/>
      <c r="S425" s="230">
        <f>S242</f>
        <v>8</v>
      </c>
      <c r="T425" s="230">
        <f>T242</f>
        <v>0.5</v>
      </c>
      <c r="U425" s="230"/>
      <c r="V425" s="752"/>
      <c r="W425" s="230"/>
      <c r="X425" s="752"/>
      <c r="Y425" s="752"/>
      <c r="Z425" s="230"/>
      <c r="AA425" s="230"/>
      <c r="AB425" s="231">
        <f t="shared" ref="AB425:AW425" si="525">AB242</f>
        <v>62441.840000000004</v>
      </c>
      <c r="AC425" s="231">
        <f t="shared" si="525"/>
        <v>43512.159999999996</v>
      </c>
      <c r="AD425" s="231">
        <f t="shared" si="525"/>
        <v>105954</v>
      </c>
      <c r="AE425" s="231">
        <f t="shared" si="525"/>
        <v>105954</v>
      </c>
      <c r="AF425" s="231">
        <f t="shared" si="525"/>
        <v>43512.159999999996</v>
      </c>
      <c r="AG425" s="231">
        <f t="shared" si="525"/>
        <v>60350</v>
      </c>
      <c r="AH425" s="231">
        <f t="shared" si="525"/>
        <v>7393.3600000000006</v>
      </c>
      <c r="AI425" s="231">
        <f t="shared" si="525"/>
        <v>40702</v>
      </c>
      <c r="AJ425" s="231">
        <f t="shared" si="525"/>
        <v>3626.5</v>
      </c>
      <c r="AK425" s="231">
        <f t="shared" si="525"/>
        <v>41254.699999999997</v>
      </c>
      <c r="AL425" s="231">
        <f t="shared" si="525"/>
        <v>3626.5</v>
      </c>
      <c r="AM425" s="231">
        <f t="shared" si="525"/>
        <v>552.69999999999982</v>
      </c>
      <c r="AN425" s="231">
        <f t="shared" si="525"/>
        <v>0</v>
      </c>
      <c r="AO425" s="231">
        <f t="shared" si="525"/>
        <v>8953.74</v>
      </c>
      <c r="AP425" s="231">
        <f t="shared" si="525"/>
        <v>725.30000000000007</v>
      </c>
      <c r="AQ425" s="231">
        <f t="shared" si="525"/>
        <v>7127.6</v>
      </c>
      <c r="AR425" s="231">
        <f t="shared" si="525"/>
        <v>754</v>
      </c>
      <c r="AS425" s="231">
        <f t="shared" si="525"/>
        <v>0</v>
      </c>
      <c r="AT425" s="231">
        <f t="shared" si="525"/>
        <v>41254.699999999997</v>
      </c>
      <c r="AU425" s="231">
        <f t="shared" si="525"/>
        <v>3626.5</v>
      </c>
      <c r="AV425" s="231">
        <f t="shared" si="525"/>
        <v>0</v>
      </c>
      <c r="AW425" s="231">
        <f t="shared" si="525"/>
        <v>44881.2</v>
      </c>
      <c r="AX425" s="229"/>
      <c r="AY425" s="840"/>
      <c r="AZ425" s="838"/>
      <c r="BA425" s="840"/>
    </row>
    <row r="426" spans="2:53" s="232" customFormat="1" ht="52.5">
      <c r="B426" s="229"/>
      <c r="C426" s="123" t="str">
        <f>C243</f>
        <v>ХІРУРГІЧНЕ ВІДДІЛЕННЯ З ОПЕРАЦІЙНИМ БЛОКОМ</v>
      </c>
      <c r="D426" s="229"/>
      <c r="E426" s="229"/>
      <c r="F426" s="229"/>
      <c r="G426" s="229"/>
      <c r="H426" s="758"/>
      <c r="I426" s="229"/>
      <c r="J426" s="758"/>
      <c r="K426" s="229"/>
      <c r="L426" s="229"/>
      <c r="M426" s="758"/>
      <c r="N426" s="229"/>
      <c r="O426" s="758"/>
      <c r="P426" s="229"/>
      <c r="Q426" s="229"/>
      <c r="R426" s="229"/>
      <c r="S426" s="230">
        <f>S288</f>
        <v>27.5</v>
      </c>
      <c r="T426" s="230">
        <f>T288</f>
        <v>2.25</v>
      </c>
      <c r="U426" s="230"/>
      <c r="V426" s="752"/>
      <c r="W426" s="230"/>
      <c r="X426" s="752"/>
      <c r="Y426" s="752"/>
      <c r="Z426" s="230"/>
      <c r="AA426" s="230"/>
      <c r="AB426" s="231">
        <f t="shared" ref="AB426:AW426" si="526">AB288</f>
        <v>251081.76625000002</v>
      </c>
      <c r="AC426" s="231">
        <f t="shared" si="526"/>
        <v>147303.43375</v>
      </c>
      <c r="AD426" s="231">
        <f t="shared" si="526"/>
        <v>398385.2</v>
      </c>
      <c r="AE426" s="231">
        <f t="shared" si="526"/>
        <v>398385.2</v>
      </c>
      <c r="AF426" s="231">
        <f t="shared" si="526"/>
        <v>147303.43375</v>
      </c>
      <c r="AG426" s="231">
        <f t="shared" si="526"/>
        <v>211225</v>
      </c>
      <c r="AH426" s="231">
        <f t="shared" si="526"/>
        <v>65094.556250000001</v>
      </c>
      <c r="AI426" s="231">
        <f t="shared" si="526"/>
        <v>145547.5</v>
      </c>
      <c r="AJ426" s="231">
        <f t="shared" si="526"/>
        <v>16558.5</v>
      </c>
      <c r="AK426" s="231">
        <f t="shared" si="526"/>
        <v>161152.82500000001</v>
      </c>
      <c r="AL426" s="231">
        <f t="shared" si="526"/>
        <v>20698.125</v>
      </c>
      <c r="AM426" s="231">
        <f t="shared" si="526"/>
        <v>15605.325000000001</v>
      </c>
      <c r="AN426" s="231">
        <f t="shared" si="526"/>
        <v>4139.625</v>
      </c>
      <c r="AO426" s="231">
        <f t="shared" si="526"/>
        <v>28363.735000000001</v>
      </c>
      <c r="AP426" s="231">
        <f t="shared" si="526"/>
        <v>4366.28125</v>
      </c>
      <c r="AQ426" s="231">
        <f t="shared" si="526"/>
        <v>32615.599999999999</v>
      </c>
      <c r="AR426" s="231">
        <f t="shared" si="526"/>
        <v>3885.2</v>
      </c>
      <c r="AS426" s="231">
        <f t="shared" si="526"/>
        <v>0</v>
      </c>
      <c r="AT426" s="231">
        <f t="shared" si="526"/>
        <v>161152.82500000001</v>
      </c>
      <c r="AU426" s="231">
        <f t="shared" si="526"/>
        <v>20698.125</v>
      </c>
      <c r="AV426" s="231">
        <f t="shared" si="526"/>
        <v>0</v>
      </c>
      <c r="AW426" s="231">
        <f t="shared" si="526"/>
        <v>181850.95</v>
      </c>
      <c r="AX426" s="229"/>
      <c r="AY426" s="840"/>
      <c r="AZ426" s="838"/>
      <c r="BA426" s="840"/>
    </row>
    <row r="427" spans="2:53" s="232" customFormat="1" ht="52.5">
      <c r="B427" s="229"/>
      <c r="C427" s="123" t="str">
        <f>C289</f>
        <v xml:space="preserve">ВІДДІЛЕННЯ АНЕСТЕЗІОЛОГІЇ ТА ІНТЕНСИВНОЇ ТЕРАПІЇ </v>
      </c>
      <c r="D427" s="229"/>
      <c r="E427" s="229"/>
      <c r="F427" s="229"/>
      <c r="G427" s="229"/>
      <c r="H427" s="758"/>
      <c r="I427" s="229"/>
      <c r="J427" s="758"/>
      <c r="K427" s="229"/>
      <c r="L427" s="229"/>
      <c r="M427" s="758"/>
      <c r="N427" s="229"/>
      <c r="O427" s="758"/>
      <c r="P427" s="229"/>
      <c r="Q427" s="229"/>
      <c r="R427" s="229"/>
      <c r="S427" s="230">
        <f>S321</f>
        <v>20</v>
      </c>
      <c r="T427" s="230">
        <f>T321</f>
        <v>2</v>
      </c>
      <c r="U427" s="230"/>
      <c r="V427" s="752"/>
      <c r="W427" s="230"/>
      <c r="X427" s="752"/>
      <c r="Y427" s="752"/>
      <c r="Z427" s="230"/>
      <c r="AA427" s="230"/>
      <c r="AB427" s="231">
        <f t="shared" ref="AB427:AW427" si="527">AB321</f>
        <v>195306.58549999999</v>
      </c>
      <c r="AC427" s="231">
        <f t="shared" si="527"/>
        <v>117361.16450000001</v>
      </c>
      <c r="AD427" s="231">
        <f t="shared" si="527"/>
        <v>312667.75</v>
      </c>
      <c r="AE427" s="231">
        <f t="shared" si="527"/>
        <v>312667.75</v>
      </c>
      <c r="AF427" s="231">
        <f t="shared" si="527"/>
        <v>117361.16450000001</v>
      </c>
      <c r="AG427" s="231">
        <f t="shared" si="527"/>
        <v>156200</v>
      </c>
      <c r="AH427" s="231">
        <f t="shared" si="527"/>
        <v>40986.272999999986</v>
      </c>
      <c r="AI427" s="231">
        <f t="shared" si="527"/>
        <v>113646</v>
      </c>
      <c r="AJ427" s="231">
        <f t="shared" si="527"/>
        <v>12348.5</v>
      </c>
      <c r="AK427" s="231">
        <f t="shared" si="527"/>
        <v>134299.785</v>
      </c>
      <c r="AL427" s="231">
        <f t="shared" si="527"/>
        <v>14200.775</v>
      </c>
      <c r="AM427" s="231">
        <f t="shared" si="527"/>
        <v>20653.784999999996</v>
      </c>
      <c r="AN427" s="231">
        <f t="shared" si="527"/>
        <v>1852.2750000000001</v>
      </c>
      <c r="AO427" s="231">
        <f t="shared" si="527"/>
        <v>27397.227999999996</v>
      </c>
      <c r="AP427" s="231">
        <f t="shared" si="527"/>
        <v>4418.1850000000004</v>
      </c>
      <c r="AQ427" s="231">
        <f t="shared" si="527"/>
        <v>13822.5</v>
      </c>
      <c r="AR427" s="231">
        <f t="shared" si="527"/>
        <v>2167.75</v>
      </c>
      <c r="AS427" s="231">
        <f t="shared" si="527"/>
        <v>0</v>
      </c>
      <c r="AT427" s="231">
        <f t="shared" si="527"/>
        <v>134299.785</v>
      </c>
      <c r="AU427" s="231">
        <f t="shared" si="527"/>
        <v>14200.775</v>
      </c>
      <c r="AV427" s="231">
        <f t="shared" si="527"/>
        <v>0</v>
      </c>
      <c r="AW427" s="231">
        <f t="shared" si="527"/>
        <v>149051.41</v>
      </c>
      <c r="AX427" s="229"/>
      <c r="AY427" s="840"/>
      <c r="AZ427" s="838"/>
      <c r="BA427" s="840"/>
    </row>
    <row r="428" spans="2:53" s="232" customFormat="1" ht="34.5">
      <c r="B428" s="229"/>
      <c r="C428" s="123" t="str">
        <f>C323</f>
        <v>ПРИЙМАЛЬНЕ ВІДДІЛЕННЯ</v>
      </c>
      <c r="D428" s="229"/>
      <c r="E428" s="229"/>
      <c r="F428" s="229"/>
      <c r="G428" s="229"/>
      <c r="H428" s="758"/>
      <c r="I428" s="229"/>
      <c r="J428" s="758"/>
      <c r="K428" s="229"/>
      <c r="L428" s="229"/>
      <c r="M428" s="758"/>
      <c r="N428" s="229"/>
      <c r="O428" s="758"/>
      <c r="P428" s="229"/>
      <c r="Q428" s="229"/>
      <c r="R428" s="229"/>
      <c r="S428" s="230">
        <f>S344</f>
        <v>12</v>
      </c>
      <c r="T428" s="230">
        <f t="shared" ref="T428:AV428" si="528">T344</f>
        <v>0.25</v>
      </c>
      <c r="U428" s="230"/>
      <c r="V428" s="752"/>
      <c r="W428" s="230"/>
      <c r="X428" s="752"/>
      <c r="Y428" s="752"/>
      <c r="Z428" s="230"/>
      <c r="AA428" s="230"/>
      <c r="AB428" s="231">
        <f t="shared" si="528"/>
        <v>89918.91</v>
      </c>
      <c r="AC428" s="231">
        <f t="shared" si="528"/>
        <v>53466.090000000004</v>
      </c>
      <c r="AD428" s="231">
        <f t="shared" si="528"/>
        <v>143385</v>
      </c>
      <c r="AE428" s="231">
        <f t="shared" si="528"/>
        <v>143385</v>
      </c>
      <c r="AF428" s="231">
        <f t="shared" si="528"/>
        <v>53466.090000000004</v>
      </c>
      <c r="AG428" s="231">
        <f t="shared" si="528"/>
        <v>86975</v>
      </c>
      <c r="AH428" s="231">
        <f t="shared" si="528"/>
        <v>21081.75</v>
      </c>
      <c r="AI428" s="231">
        <f t="shared" si="528"/>
        <v>56039</v>
      </c>
      <c r="AJ428" s="231">
        <f t="shared" si="528"/>
        <v>1453.75</v>
      </c>
      <c r="AK428" s="231">
        <f t="shared" si="528"/>
        <v>56591.7</v>
      </c>
      <c r="AL428" s="231">
        <f t="shared" si="528"/>
        <v>1453.75</v>
      </c>
      <c r="AM428" s="231">
        <f t="shared" si="528"/>
        <v>552.69999999999982</v>
      </c>
      <c r="AN428" s="231">
        <f t="shared" si="528"/>
        <v>0</v>
      </c>
      <c r="AO428" s="231">
        <f t="shared" si="528"/>
        <v>8651.41</v>
      </c>
      <c r="AP428" s="231">
        <f t="shared" si="528"/>
        <v>0</v>
      </c>
      <c r="AQ428" s="231">
        <f t="shared" si="528"/>
        <v>21337.05</v>
      </c>
      <c r="AR428" s="231">
        <f t="shared" si="528"/>
        <v>1885</v>
      </c>
      <c r="AS428" s="231">
        <f t="shared" si="528"/>
        <v>0</v>
      </c>
      <c r="AT428" s="231">
        <f t="shared" si="528"/>
        <v>56591.7</v>
      </c>
      <c r="AU428" s="231">
        <f t="shared" si="528"/>
        <v>1453.75</v>
      </c>
      <c r="AV428" s="231">
        <f t="shared" si="528"/>
        <v>0</v>
      </c>
      <c r="AW428" s="231">
        <f>AW344</f>
        <v>58045.45</v>
      </c>
      <c r="AX428" s="229"/>
      <c r="AY428" s="840"/>
      <c r="AZ428" s="838"/>
      <c r="BA428" s="840"/>
    </row>
    <row r="429" spans="2:53" s="232" customFormat="1" ht="34.5">
      <c r="B429" s="229"/>
      <c r="C429" s="123" t="str">
        <f>C345</f>
        <v>ЦЕНТРАЛІЗОВАНА СТЕРИЛІЗАЦІЙНА</v>
      </c>
      <c r="D429" s="229"/>
      <c r="E429" s="229"/>
      <c r="F429" s="229"/>
      <c r="G429" s="229"/>
      <c r="H429" s="758"/>
      <c r="I429" s="229"/>
      <c r="J429" s="758"/>
      <c r="K429" s="229"/>
      <c r="L429" s="229"/>
      <c r="M429" s="758"/>
      <c r="N429" s="229"/>
      <c r="O429" s="758"/>
      <c r="P429" s="229"/>
      <c r="Q429" s="229"/>
      <c r="R429" s="229"/>
      <c r="S429" s="230">
        <f>S348</f>
        <v>1</v>
      </c>
      <c r="T429" s="230">
        <f t="shared" ref="T429:AW429" si="529">T348</f>
        <v>0</v>
      </c>
      <c r="U429" s="230"/>
      <c r="V429" s="752"/>
      <c r="W429" s="230"/>
      <c r="X429" s="752"/>
      <c r="Y429" s="752"/>
      <c r="Z429" s="230"/>
      <c r="AA429" s="230"/>
      <c r="AB429" s="231">
        <f t="shared" si="529"/>
        <v>7185.1</v>
      </c>
      <c r="AC429" s="231">
        <f t="shared" si="529"/>
        <v>6314.9</v>
      </c>
      <c r="AD429" s="231">
        <f t="shared" si="529"/>
        <v>13500</v>
      </c>
      <c r="AE429" s="231">
        <f t="shared" si="529"/>
        <v>13500</v>
      </c>
      <c r="AF429" s="231">
        <f t="shared" si="529"/>
        <v>6314.9</v>
      </c>
      <c r="AG429" s="231">
        <f t="shared" si="529"/>
        <v>7100</v>
      </c>
      <c r="AH429" s="231">
        <f t="shared" si="529"/>
        <v>-85.099999999999909</v>
      </c>
      <c r="AI429" s="231">
        <f t="shared" si="529"/>
        <v>5527</v>
      </c>
      <c r="AJ429" s="231">
        <f t="shared" si="529"/>
        <v>0</v>
      </c>
      <c r="AK429" s="231">
        <f t="shared" si="529"/>
        <v>5527</v>
      </c>
      <c r="AL429" s="231">
        <f t="shared" si="529"/>
        <v>0</v>
      </c>
      <c r="AM429" s="231">
        <f t="shared" si="529"/>
        <v>0</v>
      </c>
      <c r="AN429" s="231">
        <f t="shared" si="529"/>
        <v>0</v>
      </c>
      <c r="AO429" s="231">
        <f t="shared" si="529"/>
        <v>1658.1</v>
      </c>
      <c r="AP429" s="231">
        <f t="shared" si="529"/>
        <v>0</v>
      </c>
      <c r="AQ429" s="231">
        <f t="shared" si="529"/>
        <v>0</v>
      </c>
      <c r="AR429" s="231">
        <f t="shared" si="529"/>
        <v>0</v>
      </c>
      <c r="AS429" s="231">
        <f t="shared" si="529"/>
        <v>0</v>
      </c>
      <c r="AT429" s="231">
        <f t="shared" si="529"/>
        <v>5527</v>
      </c>
      <c r="AU429" s="231">
        <f t="shared" si="529"/>
        <v>0</v>
      </c>
      <c r="AV429" s="231">
        <f t="shared" si="529"/>
        <v>0</v>
      </c>
      <c r="AW429" s="231">
        <f t="shared" si="529"/>
        <v>5527</v>
      </c>
      <c r="AX429" s="229"/>
      <c r="AY429" s="840"/>
      <c r="AZ429" s="838"/>
      <c r="BA429" s="840"/>
    </row>
    <row r="430" spans="2:53" s="232" customFormat="1" ht="34.5">
      <c r="B430" s="229"/>
      <c r="C430" s="123" t="str">
        <f>C351</f>
        <v>КЛІНІКО-ДІАГНОСТИЧНА ЛАБОРАТОРІЯ</v>
      </c>
      <c r="D430" s="229"/>
      <c r="E430" s="229"/>
      <c r="F430" s="229"/>
      <c r="G430" s="229"/>
      <c r="H430" s="758"/>
      <c r="I430" s="229"/>
      <c r="J430" s="758"/>
      <c r="K430" s="229"/>
      <c r="L430" s="229"/>
      <c r="M430" s="758"/>
      <c r="N430" s="229"/>
      <c r="O430" s="758"/>
      <c r="P430" s="229"/>
      <c r="Q430" s="229"/>
      <c r="R430" s="229"/>
      <c r="S430" s="230">
        <f>S367</f>
        <v>9</v>
      </c>
      <c r="T430" s="230">
        <f t="shared" ref="T430:AW430" si="530">T367</f>
        <v>0</v>
      </c>
      <c r="U430" s="230"/>
      <c r="V430" s="752"/>
      <c r="W430" s="230"/>
      <c r="X430" s="752"/>
      <c r="Y430" s="752"/>
      <c r="Z430" s="230"/>
      <c r="AA430" s="230"/>
      <c r="AB430" s="231">
        <f t="shared" si="530"/>
        <v>79879.953500000003</v>
      </c>
      <c r="AC430" s="231">
        <f t="shared" si="530"/>
        <v>48597.046500000004</v>
      </c>
      <c r="AD430" s="231">
        <f t="shared" si="530"/>
        <v>128477</v>
      </c>
      <c r="AE430" s="231">
        <f t="shared" si="530"/>
        <v>128477</v>
      </c>
      <c r="AF430" s="231">
        <f t="shared" si="530"/>
        <v>48597.046500000004</v>
      </c>
      <c r="AG430" s="231">
        <f t="shared" si="530"/>
        <v>63900</v>
      </c>
      <c r="AH430" s="231">
        <f t="shared" si="530"/>
        <v>11769.593499999999</v>
      </c>
      <c r="AI430" s="231">
        <f t="shared" si="530"/>
        <v>52303</v>
      </c>
      <c r="AJ430" s="231">
        <f t="shared" si="530"/>
        <v>0</v>
      </c>
      <c r="AK430" s="231">
        <f t="shared" si="530"/>
        <v>60417.045000000006</v>
      </c>
      <c r="AL430" s="231">
        <f t="shared" si="530"/>
        <v>0</v>
      </c>
      <c r="AM430" s="231">
        <f t="shared" si="530"/>
        <v>8114.045000000001</v>
      </c>
      <c r="AN430" s="231">
        <f t="shared" si="530"/>
        <v>0</v>
      </c>
      <c r="AO430" s="231">
        <f t="shared" si="530"/>
        <v>15755.9085</v>
      </c>
      <c r="AP430" s="231">
        <f t="shared" si="530"/>
        <v>0</v>
      </c>
      <c r="AQ430" s="231">
        <f t="shared" si="530"/>
        <v>3330</v>
      </c>
      <c r="AR430" s="231">
        <f t="shared" si="530"/>
        <v>377</v>
      </c>
      <c r="AS430" s="231">
        <f t="shared" si="530"/>
        <v>0</v>
      </c>
      <c r="AT430" s="231">
        <f t="shared" si="530"/>
        <v>60417.045000000006</v>
      </c>
      <c r="AU430" s="231">
        <f t="shared" si="530"/>
        <v>0</v>
      </c>
      <c r="AV430" s="231">
        <f t="shared" si="530"/>
        <v>0</v>
      </c>
      <c r="AW430" s="231">
        <f t="shared" si="530"/>
        <v>60417.045000000006</v>
      </c>
      <c r="AX430" s="229"/>
      <c r="AY430" s="840"/>
      <c r="AZ430" s="838"/>
      <c r="BA430" s="840"/>
    </row>
    <row r="431" spans="2:53" s="232" customFormat="1" ht="34.5">
      <c r="B431" s="229"/>
      <c r="C431" s="123" t="str">
        <f>C368</f>
        <v>РЕНТГЕН КАБІНЕТ</v>
      </c>
      <c r="D431" s="229"/>
      <c r="E431" s="229"/>
      <c r="F431" s="229"/>
      <c r="G431" s="229"/>
      <c r="H431" s="758"/>
      <c r="I431" s="229"/>
      <c r="J431" s="758"/>
      <c r="K431" s="229"/>
      <c r="L431" s="229"/>
      <c r="M431" s="758"/>
      <c r="N431" s="229"/>
      <c r="O431" s="758"/>
      <c r="P431" s="229"/>
      <c r="Q431" s="229"/>
      <c r="R431" s="229"/>
      <c r="S431" s="230">
        <f>S378</f>
        <v>4</v>
      </c>
      <c r="T431" s="230">
        <f t="shared" ref="T431:AW431" si="531">T378</f>
        <v>0.5</v>
      </c>
      <c r="U431" s="230"/>
      <c r="V431" s="752"/>
      <c r="W431" s="230"/>
      <c r="X431" s="752"/>
      <c r="Y431" s="752"/>
      <c r="Z431" s="230"/>
      <c r="AA431" s="230"/>
      <c r="AB431" s="231">
        <f t="shared" si="531"/>
        <v>36561.965000000004</v>
      </c>
      <c r="AC431" s="231">
        <f t="shared" si="531"/>
        <v>27438.035</v>
      </c>
      <c r="AD431" s="231">
        <f t="shared" si="531"/>
        <v>64000</v>
      </c>
      <c r="AE431" s="231">
        <f t="shared" si="531"/>
        <v>64000</v>
      </c>
      <c r="AF431" s="231">
        <f t="shared" si="531"/>
        <v>27438.035</v>
      </c>
      <c r="AG431" s="231">
        <f t="shared" si="531"/>
        <v>31950</v>
      </c>
      <c r="AH431" s="231">
        <f t="shared" si="531"/>
        <v>1297.0350000000001</v>
      </c>
      <c r="AI431" s="231">
        <f t="shared" si="531"/>
        <v>21214</v>
      </c>
      <c r="AJ431" s="231">
        <f t="shared" si="531"/>
        <v>3386.5</v>
      </c>
      <c r="AK431" s="231">
        <f t="shared" si="531"/>
        <v>24396.1</v>
      </c>
      <c r="AL431" s="231">
        <f t="shared" si="531"/>
        <v>3894.4749999999999</v>
      </c>
      <c r="AM431" s="231">
        <f t="shared" si="531"/>
        <v>3182.1000000000004</v>
      </c>
      <c r="AN431" s="231">
        <f t="shared" si="531"/>
        <v>507.97499999999991</v>
      </c>
      <c r="AO431" s="231">
        <f t="shared" si="531"/>
        <v>7318.83</v>
      </c>
      <c r="AP431" s="231">
        <f t="shared" si="531"/>
        <v>778.89499999999998</v>
      </c>
      <c r="AQ431" s="231">
        <f t="shared" si="531"/>
        <v>173.66500000000019</v>
      </c>
      <c r="AR431" s="231">
        <f t="shared" si="531"/>
        <v>0</v>
      </c>
      <c r="AS431" s="231">
        <f t="shared" si="531"/>
        <v>0</v>
      </c>
      <c r="AT431" s="231">
        <f t="shared" si="531"/>
        <v>24396.1</v>
      </c>
      <c r="AU431" s="231">
        <f t="shared" si="531"/>
        <v>3894.4749999999999</v>
      </c>
      <c r="AV431" s="231">
        <f t="shared" si="531"/>
        <v>0</v>
      </c>
      <c r="AW431" s="231">
        <f t="shared" si="531"/>
        <v>28290.574999999997</v>
      </c>
      <c r="AX431" s="229"/>
      <c r="AY431" s="840"/>
      <c r="AZ431" s="838"/>
      <c r="BA431" s="840"/>
    </row>
    <row r="432" spans="2:53" s="232" customFormat="1" ht="34.5">
      <c r="B432" s="229"/>
      <c r="C432" s="123" t="str">
        <f>C379</f>
        <v>ФІЗІОТЕРАПЕВТИЧНЕ ВІДДІЛЕННЯ</v>
      </c>
      <c r="D432" s="229"/>
      <c r="E432" s="229"/>
      <c r="F432" s="229"/>
      <c r="G432" s="229"/>
      <c r="H432" s="758"/>
      <c r="I432" s="229"/>
      <c r="J432" s="758"/>
      <c r="K432" s="229"/>
      <c r="L432" s="229"/>
      <c r="M432" s="758"/>
      <c r="N432" s="229"/>
      <c r="O432" s="758"/>
      <c r="P432" s="229"/>
      <c r="Q432" s="229"/>
      <c r="R432" s="229"/>
      <c r="S432" s="230">
        <f>S396</f>
        <v>10</v>
      </c>
      <c r="T432" s="230">
        <f t="shared" ref="T432:AW432" si="532">T396</f>
        <v>0</v>
      </c>
      <c r="U432" s="230"/>
      <c r="V432" s="752"/>
      <c r="W432" s="230"/>
      <c r="X432" s="752"/>
      <c r="Y432" s="752"/>
      <c r="Z432" s="230"/>
      <c r="AA432" s="230"/>
      <c r="AB432" s="231">
        <f t="shared" si="532"/>
        <v>80521.813499999989</v>
      </c>
      <c r="AC432" s="231">
        <f t="shared" si="532"/>
        <v>54955.186500000003</v>
      </c>
      <c r="AD432" s="231">
        <f t="shared" si="532"/>
        <v>135477</v>
      </c>
      <c r="AE432" s="231">
        <f t="shared" si="532"/>
        <v>135477</v>
      </c>
      <c r="AF432" s="231">
        <f t="shared" si="532"/>
        <v>54955.186500000003</v>
      </c>
      <c r="AG432" s="231">
        <f t="shared" si="532"/>
        <v>71000</v>
      </c>
      <c r="AH432" s="231">
        <f t="shared" si="532"/>
        <v>8799.3584999999985</v>
      </c>
      <c r="AI432" s="231">
        <f t="shared" si="532"/>
        <v>54665</v>
      </c>
      <c r="AJ432" s="231">
        <f t="shared" si="532"/>
        <v>0</v>
      </c>
      <c r="AK432" s="231">
        <f t="shared" si="532"/>
        <v>60689.244999999995</v>
      </c>
      <c r="AL432" s="231">
        <f t="shared" si="532"/>
        <v>0</v>
      </c>
      <c r="AM432" s="231">
        <f t="shared" si="532"/>
        <v>6024.2450000000008</v>
      </c>
      <c r="AN432" s="231">
        <f t="shared" si="532"/>
        <v>0</v>
      </c>
      <c r="AO432" s="231">
        <f t="shared" si="532"/>
        <v>15313.568500000001</v>
      </c>
      <c r="AP432" s="231">
        <f t="shared" si="532"/>
        <v>0</v>
      </c>
      <c r="AQ432" s="231">
        <f t="shared" si="532"/>
        <v>4142</v>
      </c>
      <c r="AR432" s="231">
        <f t="shared" si="532"/>
        <v>377</v>
      </c>
      <c r="AS432" s="231">
        <f t="shared" si="532"/>
        <v>0</v>
      </c>
      <c r="AT432" s="231">
        <f t="shared" si="532"/>
        <v>60689.244999999995</v>
      </c>
      <c r="AU432" s="231">
        <f t="shared" si="532"/>
        <v>0</v>
      </c>
      <c r="AV432" s="231">
        <f t="shared" si="532"/>
        <v>0</v>
      </c>
      <c r="AW432" s="231">
        <f t="shared" si="532"/>
        <v>60689.244999999995</v>
      </c>
      <c r="AX432" s="229"/>
      <c r="AY432" s="840"/>
      <c r="AZ432" s="838"/>
      <c r="BA432" s="840"/>
    </row>
    <row r="433" spans="1:53" s="232" customFormat="1" ht="34.5">
      <c r="B433" s="229"/>
      <c r="C433" s="123" t="str">
        <f>C397</f>
        <v>ВІДДІЛ З ІНФЕКЦІЙНОГО КОНТРОЛЮ</v>
      </c>
      <c r="D433" s="229"/>
      <c r="E433" s="229"/>
      <c r="F433" s="229"/>
      <c r="G433" s="229"/>
      <c r="H433" s="758"/>
      <c r="I433" s="229"/>
      <c r="J433" s="758"/>
      <c r="K433" s="229"/>
      <c r="L433" s="229"/>
      <c r="M433" s="758"/>
      <c r="N433" s="229"/>
      <c r="O433" s="758"/>
      <c r="P433" s="229"/>
      <c r="Q433" s="229"/>
      <c r="R433" s="229"/>
      <c r="S433" s="230">
        <f>S407</f>
        <v>2</v>
      </c>
      <c r="T433" s="230">
        <f t="shared" ref="T433:AW433" si="533">T407</f>
        <v>0.5</v>
      </c>
      <c r="U433" s="230"/>
      <c r="V433" s="752"/>
      <c r="W433" s="230"/>
      <c r="X433" s="752"/>
      <c r="Y433" s="752"/>
      <c r="Z433" s="230"/>
      <c r="AA433" s="230"/>
      <c r="AB433" s="231">
        <f t="shared" si="533"/>
        <v>19373.95</v>
      </c>
      <c r="AC433" s="231">
        <f t="shared" si="533"/>
        <v>17626.05</v>
      </c>
      <c r="AD433" s="231">
        <f t="shared" si="533"/>
        <v>37000</v>
      </c>
      <c r="AE433" s="231">
        <f t="shared" si="533"/>
        <v>37000</v>
      </c>
      <c r="AF433" s="231">
        <f t="shared" si="533"/>
        <v>17626.05</v>
      </c>
      <c r="AG433" s="231">
        <f t="shared" si="533"/>
        <v>17750</v>
      </c>
      <c r="AH433" s="231">
        <f t="shared" si="533"/>
        <v>1868.4499999999998</v>
      </c>
      <c r="AI433" s="231">
        <f t="shared" si="533"/>
        <v>10735</v>
      </c>
      <c r="AJ433" s="231">
        <f t="shared" si="533"/>
        <v>3626.5</v>
      </c>
      <c r="AK433" s="231">
        <f t="shared" si="533"/>
        <v>10735</v>
      </c>
      <c r="AL433" s="231">
        <f t="shared" si="533"/>
        <v>3626.5</v>
      </c>
      <c r="AM433" s="231">
        <f t="shared" si="533"/>
        <v>0</v>
      </c>
      <c r="AN433" s="231">
        <f t="shared" si="533"/>
        <v>0</v>
      </c>
      <c r="AO433" s="231">
        <f t="shared" si="533"/>
        <v>3220.5</v>
      </c>
      <c r="AP433" s="231">
        <f t="shared" si="533"/>
        <v>1087.95</v>
      </c>
      <c r="AQ433" s="231">
        <f t="shared" si="533"/>
        <v>704</v>
      </c>
      <c r="AR433" s="231">
        <f t="shared" si="533"/>
        <v>0</v>
      </c>
      <c r="AS433" s="231">
        <f t="shared" si="533"/>
        <v>0</v>
      </c>
      <c r="AT433" s="231">
        <f t="shared" si="533"/>
        <v>10735</v>
      </c>
      <c r="AU433" s="231">
        <f t="shared" si="533"/>
        <v>3626.5</v>
      </c>
      <c r="AV433" s="231">
        <f t="shared" si="533"/>
        <v>0</v>
      </c>
      <c r="AW433" s="231">
        <f t="shared" si="533"/>
        <v>14361.5</v>
      </c>
      <c r="AX433" s="229"/>
      <c r="AY433" s="840"/>
      <c r="AZ433" s="838"/>
      <c r="BA433" s="840"/>
    </row>
    <row r="434" spans="1:53" s="232" customFormat="1" ht="34.5">
      <c r="B434" s="229"/>
      <c r="C434" s="123" t="str">
        <f>C408</f>
        <v>ЗАГАЛЬНО - ЛІКАРНЯНИЙ ПЕРСОНАЛ</v>
      </c>
      <c r="D434" s="229"/>
      <c r="E434" s="229"/>
      <c r="F434" s="229"/>
      <c r="G434" s="229"/>
      <c r="H434" s="758"/>
      <c r="I434" s="229"/>
      <c r="J434" s="758"/>
      <c r="K434" s="229"/>
      <c r="L434" s="229"/>
      <c r="M434" s="758"/>
      <c r="N434" s="229"/>
      <c r="O434" s="758"/>
      <c r="P434" s="229"/>
      <c r="Q434" s="229"/>
      <c r="R434" s="229"/>
      <c r="S434" s="230">
        <f>S412</f>
        <v>1</v>
      </c>
      <c r="T434" s="230">
        <f t="shared" ref="T434:AW434" si="534">T412</f>
        <v>1</v>
      </c>
      <c r="U434" s="230"/>
      <c r="V434" s="752"/>
      <c r="W434" s="230"/>
      <c r="X434" s="752"/>
      <c r="Y434" s="752"/>
      <c r="Z434" s="230"/>
      <c r="AA434" s="230"/>
      <c r="AB434" s="231">
        <f t="shared" si="534"/>
        <v>14285.099999999999</v>
      </c>
      <c r="AC434" s="231">
        <f t="shared" si="534"/>
        <v>12714.900000000001</v>
      </c>
      <c r="AD434" s="231">
        <f t="shared" si="534"/>
        <v>27000</v>
      </c>
      <c r="AE434" s="231">
        <f t="shared" si="534"/>
        <v>27000</v>
      </c>
      <c r="AF434" s="231">
        <f t="shared" si="534"/>
        <v>12714.900000000001</v>
      </c>
      <c r="AG434" s="231">
        <f t="shared" si="534"/>
        <v>14200</v>
      </c>
      <c r="AH434" s="231">
        <f t="shared" si="534"/>
        <v>1455.2999999999993</v>
      </c>
      <c r="AI434" s="231">
        <f t="shared" si="534"/>
        <v>10160</v>
      </c>
      <c r="AJ434" s="231">
        <f t="shared" si="534"/>
        <v>10160</v>
      </c>
      <c r="AK434" s="231">
        <f t="shared" si="534"/>
        <v>10160</v>
      </c>
      <c r="AL434" s="231">
        <f t="shared" si="534"/>
        <v>10160</v>
      </c>
      <c r="AM434" s="231">
        <f t="shared" si="534"/>
        <v>0</v>
      </c>
      <c r="AN434" s="231">
        <f t="shared" si="534"/>
        <v>0</v>
      </c>
      <c r="AO434" s="231">
        <f t="shared" si="534"/>
        <v>2584.6999999999998</v>
      </c>
      <c r="AP434" s="231">
        <f t="shared" si="534"/>
        <v>1658.1</v>
      </c>
      <c r="AQ434" s="231">
        <f t="shared" si="534"/>
        <v>1540.3999999999996</v>
      </c>
      <c r="AR434" s="231">
        <f t="shared" si="534"/>
        <v>0</v>
      </c>
      <c r="AS434" s="231">
        <f t="shared" si="534"/>
        <v>0</v>
      </c>
      <c r="AT434" s="231">
        <f t="shared" si="534"/>
        <v>10160</v>
      </c>
      <c r="AU434" s="231">
        <f t="shared" si="534"/>
        <v>10160</v>
      </c>
      <c r="AV434" s="231">
        <f t="shared" si="534"/>
        <v>0</v>
      </c>
      <c r="AW434" s="231">
        <f t="shared" si="534"/>
        <v>10160</v>
      </c>
      <c r="AX434" s="229"/>
      <c r="AY434" s="840"/>
      <c r="AZ434" s="838"/>
      <c r="BA434" s="840"/>
    </row>
    <row r="435" spans="1:53" s="232" customFormat="1" ht="34.5">
      <c r="B435" s="229"/>
      <c r="C435" s="123"/>
      <c r="D435" s="229"/>
      <c r="E435" s="229"/>
      <c r="F435" s="229"/>
      <c r="G435" s="229"/>
      <c r="H435" s="758"/>
      <c r="I435" s="229"/>
      <c r="J435" s="758"/>
      <c r="K435" s="229"/>
      <c r="L435" s="229"/>
      <c r="M435" s="758"/>
      <c r="N435" s="229"/>
      <c r="O435" s="758"/>
      <c r="P435" s="229"/>
      <c r="Q435" s="229"/>
      <c r="R435" s="229"/>
      <c r="S435" s="230">
        <f>SUM(S415:S434)</f>
        <v>224.75</v>
      </c>
      <c r="T435" s="230">
        <f t="shared" ref="T435:AW435" si="535">SUM(T415:T434)</f>
        <v>16.5</v>
      </c>
      <c r="U435" s="230"/>
      <c r="V435" s="752"/>
      <c r="W435" s="230"/>
      <c r="X435" s="752"/>
      <c r="Y435" s="752"/>
      <c r="Z435" s="230"/>
      <c r="AA435" s="230"/>
      <c r="AB435" s="231">
        <f t="shared" si="535"/>
        <v>1974889.3603500004</v>
      </c>
      <c r="AC435" s="231">
        <f t="shared" si="535"/>
        <v>1050290.1866000001</v>
      </c>
      <c r="AD435" s="231">
        <f t="shared" si="535"/>
        <v>3025179.5469499999</v>
      </c>
      <c r="AE435" s="231">
        <f t="shared" si="535"/>
        <v>3024828.920225</v>
      </c>
      <c r="AF435" s="231">
        <f t="shared" si="535"/>
        <v>1049939.559875</v>
      </c>
      <c r="AG435" s="231">
        <f t="shared" si="535"/>
        <v>1705775</v>
      </c>
      <c r="AH435" s="231">
        <f t="shared" si="535"/>
        <v>429654.28674999997</v>
      </c>
      <c r="AI435" s="231">
        <f t="shared" si="535"/>
        <v>1212298.625</v>
      </c>
      <c r="AJ435" s="231">
        <f t="shared" si="535"/>
        <v>112999.5</v>
      </c>
      <c r="AK435" s="231">
        <f t="shared" si="535"/>
        <v>1306721.2374999998</v>
      </c>
      <c r="AL435" s="231">
        <f t="shared" si="535"/>
        <v>116005.1875</v>
      </c>
      <c r="AM435" s="231">
        <f t="shared" si="535"/>
        <v>97471.299999999988</v>
      </c>
      <c r="AN435" s="231">
        <f t="shared" si="535"/>
        <v>2787.625</v>
      </c>
      <c r="AO435" s="231">
        <f t="shared" si="535"/>
        <v>237165.14535000001</v>
      </c>
      <c r="AP435" s="231">
        <f t="shared" si="535"/>
        <v>22314.401249999999</v>
      </c>
      <c r="AQ435" s="231">
        <f t="shared" si="535"/>
        <v>291759.81500000006</v>
      </c>
      <c r="AR435" s="231">
        <f t="shared" si="535"/>
        <v>18546.7</v>
      </c>
      <c r="AS435" s="231">
        <f t="shared" si="535"/>
        <v>0</v>
      </c>
      <c r="AT435" s="231">
        <f t="shared" si="535"/>
        <v>1302589.4249999998</v>
      </c>
      <c r="AU435" s="231">
        <f t="shared" si="535"/>
        <v>114333.375</v>
      </c>
      <c r="AV435" s="231">
        <f t="shared" si="535"/>
        <v>0</v>
      </c>
      <c r="AW435" s="231">
        <f t="shared" si="535"/>
        <v>1407007.6249999995</v>
      </c>
      <c r="AX435" s="229"/>
      <c r="AY435" s="840"/>
      <c r="AZ435" s="838"/>
      <c r="BA435" s="840"/>
    </row>
    <row r="436" spans="1:53" s="232" customFormat="1" ht="34.5">
      <c r="B436" s="229"/>
      <c r="C436" s="123"/>
      <c r="D436" s="229"/>
      <c r="E436" s="229"/>
      <c r="F436" s="229"/>
      <c r="G436" s="229"/>
      <c r="H436" s="758"/>
      <c r="I436" s="229"/>
      <c r="J436" s="758"/>
      <c r="K436" s="229"/>
      <c r="L436" s="229"/>
      <c r="M436" s="758"/>
      <c r="N436" s="229"/>
      <c r="O436" s="758"/>
      <c r="P436" s="229"/>
      <c r="Q436" s="229"/>
      <c r="R436" s="229"/>
      <c r="S436" s="230"/>
      <c r="T436" s="230"/>
      <c r="U436" s="230"/>
      <c r="V436" s="752"/>
      <c r="W436" s="230"/>
      <c r="X436" s="752"/>
      <c r="Y436" s="752"/>
      <c r="Z436" s="230"/>
      <c r="AA436" s="230"/>
      <c r="AB436" s="231"/>
      <c r="AC436" s="231"/>
      <c r="AD436" s="231"/>
      <c r="AE436" s="231"/>
      <c r="AF436" s="231"/>
      <c r="AG436" s="231"/>
      <c r="AH436" s="231"/>
      <c r="AI436" s="231"/>
      <c r="AJ436" s="231"/>
      <c r="AK436" s="231"/>
      <c r="AL436" s="231"/>
      <c r="AM436" s="231"/>
      <c r="AN436" s="231"/>
      <c r="AO436" s="231"/>
      <c r="AP436" s="231"/>
      <c r="AQ436" s="231"/>
      <c r="AR436" s="231"/>
      <c r="AS436" s="231"/>
      <c r="AT436" s="231"/>
      <c r="AU436" s="231"/>
      <c r="AV436" s="231"/>
      <c r="AW436" s="231"/>
      <c r="AX436" s="229"/>
      <c r="AY436" s="840"/>
      <c r="AZ436" s="838"/>
      <c r="BA436" s="840"/>
    </row>
    <row r="437" spans="1:53" s="232" customFormat="1" ht="34.5">
      <c r="B437" s="229"/>
      <c r="C437" s="123" t="str">
        <f>C8</f>
        <v>АПАРАТ УПРАВЛІННЯ</v>
      </c>
      <c r="D437" s="229"/>
      <c r="E437" s="229"/>
      <c r="F437" s="229"/>
      <c r="G437" s="229"/>
      <c r="H437" s="758"/>
      <c r="I437" s="229"/>
      <c r="J437" s="758"/>
      <c r="K437" s="229"/>
      <c r="L437" s="229"/>
      <c r="M437" s="758"/>
      <c r="N437" s="229"/>
      <c r="O437" s="758"/>
      <c r="P437" s="229"/>
      <c r="Q437" s="229"/>
      <c r="R437" s="229"/>
      <c r="S437" s="230">
        <f>S19+S27+S32+S42+S87</f>
        <v>48</v>
      </c>
      <c r="T437" s="230">
        <f>T19+T27+T32+T42+T87</f>
        <v>5</v>
      </c>
      <c r="U437" s="230"/>
      <c r="V437" s="752"/>
      <c r="W437" s="230"/>
      <c r="X437" s="752"/>
      <c r="Y437" s="752"/>
      <c r="Z437" s="230"/>
      <c r="AA437" s="230"/>
      <c r="AB437" s="234">
        <f>AB19+AB27+AB32+AB42+AB87</f>
        <v>432515.54359999998</v>
      </c>
      <c r="AC437" s="234">
        <f t="shared" ref="AC437:AW437" si="536">AC19+AC27+AC32+AC42+AC87</f>
        <v>8495.3033499999983</v>
      </c>
      <c r="AD437" s="234">
        <f t="shared" si="536"/>
        <v>441010.84694999998</v>
      </c>
      <c r="AE437" s="234">
        <f t="shared" si="536"/>
        <v>440660.220225</v>
      </c>
      <c r="AF437" s="234">
        <f t="shared" si="536"/>
        <v>8144.6766250000001</v>
      </c>
      <c r="AG437" s="234">
        <f t="shared" si="536"/>
        <v>376300</v>
      </c>
      <c r="AH437" s="234">
        <f t="shared" si="536"/>
        <v>133301.6</v>
      </c>
      <c r="AI437" s="234">
        <f t="shared" si="536"/>
        <v>252318.125</v>
      </c>
      <c r="AJ437" s="234">
        <f t="shared" si="536"/>
        <v>31854</v>
      </c>
      <c r="AK437" s="234">
        <f t="shared" si="536"/>
        <v>269956.95250000001</v>
      </c>
      <c r="AL437" s="234">
        <f t="shared" si="536"/>
        <v>23348.799999999999</v>
      </c>
      <c r="AM437" s="234">
        <f t="shared" si="536"/>
        <v>17638.827499999999</v>
      </c>
      <c r="AN437" s="234">
        <f t="shared" si="536"/>
        <v>-8505.2000000000007</v>
      </c>
      <c r="AO437" s="234">
        <f t="shared" si="536"/>
        <v>16892.191099999996</v>
      </c>
      <c r="AP437" s="234">
        <f t="shared" si="536"/>
        <v>524</v>
      </c>
      <c r="AQ437" s="234">
        <f t="shared" si="536"/>
        <v>132211.6</v>
      </c>
      <c r="AR437" s="234">
        <f t="shared" si="536"/>
        <v>1278</v>
      </c>
      <c r="AS437" s="234">
        <f t="shared" si="536"/>
        <v>0</v>
      </c>
      <c r="AT437" s="234">
        <f t="shared" si="536"/>
        <v>267496.95250000001</v>
      </c>
      <c r="AU437" s="234">
        <f t="shared" si="536"/>
        <v>23348.799999999999</v>
      </c>
      <c r="AV437" s="234">
        <f t="shared" si="536"/>
        <v>0</v>
      </c>
      <c r="AW437" s="234">
        <f t="shared" si="536"/>
        <v>281043.75249999994</v>
      </c>
      <c r="AX437" s="229"/>
      <c r="AY437" s="840"/>
      <c r="AZ437" s="838"/>
      <c r="BA437" s="840"/>
    </row>
    <row r="438" spans="1:53" s="232" customFormat="1" ht="34.5">
      <c r="B438" s="229"/>
      <c r="C438" s="123" t="str">
        <f>C88</f>
        <v>ПОЛІКЛІНІКА</v>
      </c>
      <c r="D438" s="229"/>
      <c r="E438" s="229"/>
      <c r="F438" s="229"/>
      <c r="G438" s="229"/>
      <c r="H438" s="758"/>
      <c r="I438" s="229"/>
      <c r="J438" s="758"/>
      <c r="K438" s="229"/>
      <c r="L438" s="229"/>
      <c r="M438" s="758"/>
      <c r="N438" s="229"/>
      <c r="O438" s="758"/>
      <c r="P438" s="229"/>
      <c r="Q438" s="229"/>
      <c r="R438" s="229"/>
      <c r="S438" s="230">
        <f>S127</f>
        <v>24.5</v>
      </c>
      <c r="T438" s="230">
        <f>T127</f>
        <v>2.5</v>
      </c>
      <c r="U438" s="230"/>
      <c r="V438" s="752"/>
      <c r="W438" s="230"/>
      <c r="X438" s="752"/>
      <c r="Y438" s="752"/>
      <c r="Z438" s="230"/>
      <c r="AA438" s="230"/>
      <c r="AB438" s="234">
        <f t="shared" ref="AB438:AW438" si="537">AB127</f>
        <v>226601.85625000001</v>
      </c>
      <c r="AC438" s="234">
        <f t="shared" si="537"/>
        <v>241898.14374999999</v>
      </c>
      <c r="AD438" s="234">
        <f t="shared" si="537"/>
        <v>468500</v>
      </c>
      <c r="AE438" s="234">
        <f t="shared" si="537"/>
        <v>468500</v>
      </c>
      <c r="AF438" s="234">
        <f t="shared" si="537"/>
        <v>241898.14374999999</v>
      </c>
      <c r="AG438" s="234">
        <f t="shared" si="537"/>
        <v>191700</v>
      </c>
      <c r="AH438" s="234">
        <f t="shared" si="537"/>
        <v>30679.433749999997</v>
      </c>
      <c r="AI438" s="234">
        <f t="shared" si="537"/>
        <v>152496.25</v>
      </c>
      <c r="AJ438" s="234">
        <f t="shared" si="537"/>
        <v>15240</v>
      </c>
      <c r="AK438" s="234">
        <f t="shared" si="537"/>
        <v>155136.26250000001</v>
      </c>
      <c r="AL438" s="234">
        <f t="shared" si="537"/>
        <v>16891.412500000002</v>
      </c>
      <c r="AM438" s="234">
        <f t="shared" si="537"/>
        <v>5688.7000000000025</v>
      </c>
      <c r="AN438" s="234">
        <f t="shared" si="537"/>
        <v>1433.35</v>
      </c>
      <c r="AO438" s="234">
        <f t="shared" si="537"/>
        <v>35205.4375</v>
      </c>
      <c r="AP438" s="234">
        <f t="shared" si="537"/>
        <v>4176.4324999999999</v>
      </c>
      <c r="AQ438" s="234">
        <f t="shared" si="537"/>
        <v>8301.7000000000007</v>
      </c>
      <c r="AR438" s="234">
        <f t="shared" si="537"/>
        <v>0</v>
      </c>
      <c r="AS438" s="234">
        <f t="shared" si="537"/>
        <v>0</v>
      </c>
      <c r="AT438" s="234">
        <f t="shared" si="537"/>
        <v>153464.45000000001</v>
      </c>
      <c r="AU438" s="234">
        <f t="shared" si="537"/>
        <v>15219.599999999999</v>
      </c>
      <c r="AV438" s="234">
        <f t="shared" si="537"/>
        <v>0</v>
      </c>
      <c r="AW438" s="234">
        <f t="shared" si="537"/>
        <v>178180.02499999999</v>
      </c>
      <c r="AX438" s="229"/>
      <c r="AY438" s="840"/>
      <c r="AZ438" s="838"/>
      <c r="BA438" s="840"/>
    </row>
    <row r="439" spans="1:53" s="232" customFormat="1" ht="34.5">
      <c r="B439" s="229"/>
      <c r="C439" s="123" t="str">
        <f>C128</f>
        <v>СТАЦІОНАР</v>
      </c>
      <c r="D439" s="229"/>
      <c r="E439" s="229"/>
      <c r="F439" s="229"/>
      <c r="G439" s="229"/>
      <c r="H439" s="758"/>
      <c r="I439" s="229"/>
      <c r="J439" s="758"/>
      <c r="K439" s="229"/>
      <c r="L439" s="229"/>
      <c r="M439" s="758"/>
      <c r="N439" s="229"/>
      <c r="O439" s="758"/>
      <c r="P439" s="229"/>
      <c r="Q439" s="229"/>
      <c r="R439" s="229"/>
      <c r="S439" s="230">
        <f>S160+S180+S202+S224+S242+S288+S321</f>
        <v>113.25</v>
      </c>
      <c r="T439" s="230">
        <f>T160+T180+T202+T224+T242+T288+T321</f>
        <v>6.75</v>
      </c>
      <c r="U439" s="230"/>
      <c r="V439" s="752"/>
      <c r="W439" s="230"/>
      <c r="X439" s="752"/>
      <c r="Y439" s="752"/>
      <c r="Z439" s="230"/>
      <c r="AA439" s="230"/>
      <c r="AB439" s="234">
        <f t="shared" ref="AB439:AW439" si="538">AB160+AB180+AB202+AB224+AB242+AB288+AB321</f>
        <v>988045.16849999991</v>
      </c>
      <c r="AC439" s="234">
        <f t="shared" si="538"/>
        <v>578784.53150000004</v>
      </c>
      <c r="AD439" s="234">
        <f t="shared" si="538"/>
        <v>1566829.7</v>
      </c>
      <c r="AE439" s="234">
        <f t="shared" si="538"/>
        <v>1566829.7</v>
      </c>
      <c r="AF439" s="234">
        <f t="shared" si="538"/>
        <v>578784.53150000004</v>
      </c>
      <c r="AG439" s="234">
        <f t="shared" si="538"/>
        <v>844900</v>
      </c>
      <c r="AH439" s="234">
        <f t="shared" si="538"/>
        <v>219486.86600000001</v>
      </c>
      <c r="AI439" s="234">
        <f t="shared" si="538"/>
        <v>596841.25</v>
      </c>
      <c r="AJ439" s="234">
        <f t="shared" si="538"/>
        <v>47278.75</v>
      </c>
      <c r="AK439" s="234">
        <f t="shared" si="538"/>
        <v>653111.9325</v>
      </c>
      <c r="AL439" s="234">
        <f t="shared" si="538"/>
        <v>56630.25</v>
      </c>
      <c r="AM439" s="234">
        <f t="shared" si="538"/>
        <v>56270.682500000003</v>
      </c>
      <c r="AN439" s="234">
        <f t="shared" si="538"/>
        <v>9351.5</v>
      </c>
      <c r="AO439" s="234">
        <f t="shared" si="538"/>
        <v>130564.49975000002</v>
      </c>
      <c r="AP439" s="234">
        <f t="shared" si="538"/>
        <v>14089.02375</v>
      </c>
      <c r="AQ439" s="234">
        <f t="shared" si="538"/>
        <v>120019.4</v>
      </c>
      <c r="AR439" s="234">
        <f t="shared" si="538"/>
        <v>14629.7</v>
      </c>
      <c r="AS439" s="234">
        <f t="shared" si="538"/>
        <v>0</v>
      </c>
      <c r="AT439" s="234">
        <f t="shared" si="538"/>
        <v>653111.9325</v>
      </c>
      <c r="AU439" s="234">
        <f t="shared" si="538"/>
        <v>56630.25</v>
      </c>
      <c r="AV439" s="234">
        <f t="shared" si="538"/>
        <v>0</v>
      </c>
      <c r="AW439" s="234">
        <f t="shared" si="538"/>
        <v>710293.03250000009</v>
      </c>
      <c r="AX439" s="229"/>
      <c r="AY439" s="840"/>
      <c r="AZ439" s="838"/>
      <c r="BA439" s="840"/>
    </row>
    <row r="440" spans="1:53" s="232" customFormat="1" ht="34.5">
      <c r="B440" s="229"/>
      <c r="C440" s="123" t="str">
        <f>C322</f>
        <v>СТРУКТУРНІ ПІДРОЗДІЛИ СТАЦІОНАРУ</v>
      </c>
      <c r="D440" s="229"/>
      <c r="E440" s="229"/>
      <c r="F440" s="229"/>
      <c r="G440" s="229"/>
      <c r="H440" s="758"/>
      <c r="I440" s="229"/>
      <c r="J440" s="758"/>
      <c r="K440" s="229"/>
      <c r="L440" s="229"/>
      <c r="M440" s="758"/>
      <c r="N440" s="229"/>
      <c r="O440" s="758"/>
      <c r="P440" s="229"/>
      <c r="Q440" s="229"/>
      <c r="R440" s="229"/>
      <c r="S440" s="233">
        <f>S349</f>
        <v>13</v>
      </c>
      <c r="T440" s="233">
        <f t="shared" ref="T440:AW440" si="539">T349</f>
        <v>0.25</v>
      </c>
      <c r="U440" s="233"/>
      <c r="V440" s="747"/>
      <c r="W440" s="233"/>
      <c r="X440" s="747"/>
      <c r="Y440" s="747"/>
      <c r="Z440" s="233"/>
      <c r="AA440" s="233"/>
      <c r="AB440" s="234">
        <f t="shared" si="539"/>
        <v>97104.010000000009</v>
      </c>
      <c r="AC440" s="234">
        <f t="shared" si="539"/>
        <v>59780.990000000005</v>
      </c>
      <c r="AD440" s="234">
        <f t="shared" si="539"/>
        <v>156885</v>
      </c>
      <c r="AE440" s="234">
        <f t="shared" si="539"/>
        <v>156885</v>
      </c>
      <c r="AF440" s="234">
        <f t="shared" si="539"/>
        <v>59780.990000000005</v>
      </c>
      <c r="AG440" s="234">
        <f t="shared" si="539"/>
        <v>94075</v>
      </c>
      <c r="AH440" s="234">
        <f t="shared" si="539"/>
        <v>20996.65</v>
      </c>
      <c r="AI440" s="234">
        <f t="shared" si="539"/>
        <v>61566</v>
      </c>
      <c r="AJ440" s="234">
        <f t="shared" si="539"/>
        <v>1453.75</v>
      </c>
      <c r="AK440" s="234">
        <f t="shared" si="539"/>
        <v>62118.7</v>
      </c>
      <c r="AL440" s="234">
        <f t="shared" si="539"/>
        <v>1453.75</v>
      </c>
      <c r="AM440" s="234">
        <f t="shared" si="539"/>
        <v>552.69999999999982</v>
      </c>
      <c r="AN440" s="234">
        <f t="shared" si="539"/>
        <v>0</v>
      </c>
      <c r="AO440" s="234">
        <f t="shared" si="539"/>
        <v>10309.51</v>
      </c>
      <c r="AP440" s="234">
        <f t="shared" si="539"/>
        <v>0</v>
      </c>
      <c r="AQ440" s="234">
        <f t="shared" si="539"/>
        <v>21337.05</v>
      </c>
      <c r="AR440" s="234">
        <f t="shared" si="539"/>
        <v>1885</v>
      </c>
      <c r="AS440" s="234">
        <f t="shared" si="539"/>
        <v>0</v>
      </c>
      <c r="AT440" s="234">
        <f t="shared" si="539"/>
        <v>62118.7</v>
      </c>
      <c r="AU440" s="234">
        <f t="shared" si="539"/>
        <v>1453.75</v>
      </c>
      <c r="AV440" s="234">
        <f t="shared" si="539"/>
        <v>0</v>
      </c>
      <c r="AW440" s="234">
        <f t="shared" si="539"/>
        <v>63572.45</v>
      </c>
      <c r="AX440" s="229"/>
      <c r="AY440" s="840"/>
      <c r="AZ440" s="838"/>
      <c r="BA440" s="840"/>
    </row>
    <row r="441" spans="1:53" s="232" customFormat="1" ht="52.5">
      <c r="B441" s="229"/>
      <c r="C441" s="123" t="str">
        <f>C350</f>
        <v>ДОПОМІЖНІ ЛІКУВАЛЬНО - ДІАГНОСТИЧНІ ПІДРОЗДІЛИ</v>
      </c>
      <c r="D441" s="229"/>
      <c r="E441" s="229"/>
      <c r="F441" s="229"/>
      <c r="G441" s="229"/>
      <c r="H441" s="758"/>
      <c r="I441" s="229"/>
      <c r="J441" s="758"/>
      <c r="K441" s="229"/>
      <c r="L441" s="229"/>
      <c r="M441" s="758"/>
      <c r="N441" s="229"/>
      <c r="O441" s="758"/>
      <c r="P441" s="229"/>
      <c r="Q441" s="229"/>
      <c r="R441" s="229"/>
      <c r="S441" s="230">
        <f>S367+S378+S396</f>
        <v>23</v>
      </c>
      <c r="T441" s="230">
        <f t="shared" ref="T441:AW441" si="540">T367+T378+T396</f>
        <v>0.5</v>
      </c>
      <c r="U441" s="230"/>
      <c r="V441" s="752"/>
      <c r="W441" s="230"/>
      <c r="X441" s="752"/>
      <c r="Y441" s="752"/>
      <c r="Z441" s="230"/>
      <c r="AA441" s="230"/>
      <c r="AB441" s="234">
        <f t="shared" si="540"/>
        <v>196963.73199999999</v>
      </c>
      <c r="AC441" s="234">
        <f t="shared" si="540"/>
        <v>130990.26800000001</v>
      </c>
      <c r="AD441" s="234">
        <f t="shared" si="540"/>
        <v>327954</v>
      </c>
      <c r="AE441" s="234">
        <f t="shared" si="540"/>
        <v>327954</v>
      </c>
      <c r="AF441" s="234">
        <f t="shared" si="540"/>
        <v>130990.26800000001</v>
      </c>
      <c r="AG441" s="234">
        <f t="shared" si="540"/>
        <v>166850</v>
      </c>
      <c r="AH441" s="234">
        <f t="shared" si="540"/>
        <v>21865.986999999997</v>
      </c>
      <c r="AI441" s="234">
        <f t="shared" si="540"/>
        <v>128182</v>
      </c>
      <c r="AJ441" s="234">
        <f t="shared" si="540"/>
        <v>3386.5</v>
      </c>
      <c r="AK441" s="234">
        <f t="shared" si="540"/>
        <v>145502.39000000001</v>
      </c>
      <c r="AL441" s="234">
        <f t="shared" si="540"/>
        <v>3894.4749999999999</v>
      </c>
      <c r="AM441" s="234">
        <f t="shared" si="540"/>
        <v>17320.39</v>
      </c>
      <c r="AN441" s="234">
        <f t="shared" si="540"/>
        <v>507.97499999999991</v>
      </c>
      <c r="AO441" s="234">
        <f t="shared" si="540"/>
        <v>38388.307000000001</v>
      </c>
      <c r="AP441" s="234">
        <f t="shared" si="540"/>
        <v>778.89499999999998</v>
      </c>
      <c r="AQ441" s="234">
        <f t="shared" si="540"/>
        <v>7645.665</v>
      </c>
      <c r="AR441" s="234">
        <f t="shared" si="540"/>
        <v>754</v>
      </c>
      <c r="AS441" s="234">
        <f t="shared" si="540"/>
        <v>0</v>
      </c>
      <c r="AT441" s="234">
        <f t="shared" si="540"/>
        <v>145502.39000000001</v>
      </c>
      <c r="AU441" s="234">
        <f t="shared" si="540"/>
        <v>3894.4749999999999</v>
      </c>
      <c r="AV441" s="234">
        <f t="shared" si="540"/>
        <v>0</v>
      </c>
      <c r="AW441" s="234">
        <f t="shared" si="540"/>
        <v>149396.86499999999</v>
      </c>
      <c r="AX441" s="229"/>
      <c r="AY441" s="840"/>
      <c r="AZ441" s="838"/>
      <c r="BA441" s="840"/>
    </row>
    <row r="442" spans="1:53" s="232" customFormat="1" ht="34.5">
      <c r="B442" s="229"/>
      <c r="C442" s="123" t="str">
        <f>C397</f>
        <v>ВІДДІЛ З ІНФЕКЦІЙНОГО КОНТРОЛЮ</v>
      </c>
      <c r="D442" s="229"/>
      <c r="E442" s="229"/>
      <c r="F442" s="229"/>
      <c r="G442" s="229"/>
      <c r="H442" s="758"/>
      <c r="I442" s="229"/>
      <c r="J442" s="758"/>
      <c r="K442" s="229"/>
      <c r="L442" s="229"/>
      <c r="M442" s="758"/>
      <c r="N442" s="229"/>
      <c r="O442" s="758"/>
      <c r="P442" s="229"/>
      <c r="Q442" s="229"/>
      <c r="R442" s="229"/>
      <c r="S442" s="230">
        <f>S407</f>
        <v>2</v>
      </c>
      <c r="T442" s="230">
        <f t="shared" ref="T442:AW442" si="541">T407</f>
        <v>0.5</v>
      </c>
      <c r="U442" s="230"/>
      <c r="V442" s="752"/>
      <c r="W442" s="230"/>
      <c r="X442" s="752"/>
      <c r="Y442" s="752"/>
      <c r="Z442" s="230"/>
      <c r="AA442" s="230"/>
      <c r="AB442" s="234">
        <f t="shared" si="541"/>
        <v>19373.95</v>
      </c>
      <c r="AC442" s="234">
        <f t="shared" si="541"/>
        <v>17626.05</v>
      </c>
      <c r="AD442" s="234">
        <f t="shared" si="541"/>
        <v>37000</v>
      </c>
      <c r="AE442" s="234">
        <f t="shared" si="541"/>
        <v>37000</v>
      </c>
      <c r="AF442" s="234">
        <f t="shared" si="541"/>
        <v>17626.05</v>
      </c>
      <c r="AG442" s="234">
        <f t="shared" si="541"/>
        <v>17750</v>
      </c>
      <c r="AH442" s="234">
        <f t="shared" si="541"/>
        <v>1868.4499999999998</v>
      </c>
      <c r="AI442" s="234">
        <f t="shared" si="541"/>
        <v>10735</v>
      </c>
      <c r="AJ442" s="234">
        <f t="shared" si="541"/>
        <v>3626.5</v>
      </c>
      <c r="AK442" s="234">
        <f t="shared" si="541"/>
        <v>10735</v>
      </c>
      <c r="AL442" s="234">
        <f t="shared" si="541"/>
        <v>3626.5</v>
      </c>
      <c r="AM442" s="234">
        <f t="shared" si="541"/>
        <v>0</v>
      </c>
      <c r="AN442" s="234">
        <f t="shared" si="541"/>
        <v>0</v>
      </c>
      <c r="AO442" s="234">
        <f t="shared" si="541"/>
        <v>3220.5</v>
      </c>
      <c r="AP442" s="234">
        <f t="shared" si="541"/>
        <v>1087.95</v>
      </c>
      <c r="AQ442" s="234">
        <f t="shared" si="541"/>
        <v>704</v>
      </c>
      <c r="AR442" s="234">
        <f t="shared" si="541"/>
        <v>0</v>
      </c>
      <c r="AS442" s="234">
        <f t="shared" si="541"/>
        <v>0</v>
      </c>
      <c r="AT442" s="234">
        <f t="shared" si="541"/>
        <v>10735</v>
      </c>
      <c r="AU442" s="234">
        <f t="shared" si="541"/>
        <v>3626.5</v>
      </c>
      <c r="AV442" s="234">
        <f t="shared" si="541"/>
        <v>0</v>
      </c>
      <c r="AW442" s="234">
        <f t="shared" si="541"/>
        <v>14361.5</v>
      </c>
      <c r="AX442" s="229"/>
      <c r="AY442" s="840"/>
      <c r="AZ442" s="838"/>
      <c r="BA442" s="840"/>
    </row>
    <row r="443" spans="1:53" s="232" customFormat="1" ht="34.5">
      <c r="B443" s="229"/>
      <c r="C443" s="123" t="str">
        <f>C408</f>
        <v>ЗАГАЛЬНО - ЛІКАРНЯНИЙ ПЕРСОНАЛ</v>
      </c>
      <c r="D443" s="229"/>
      <c r="E443" s="229"/>
      <c r="F443" s="229"/>
      <c r="G443" s="229"/>
      <c r="H443" s="758"/>
      <c r="I443" s="229"/>
      <c r="J443" s="758"/>
      <c r="K443" s="229"/>
      <c r="L443" s="229"/>
      <c r="M443" s="758"/>
      <c r="N443" s="229"/>
      <c r="O443" s="758"/>
      <c r="P443" s="229"/>
      <c r="Q443" s="229"/>
      <c r="R443" s="229"/>
      <c r="S443" s="230">
        <f>S412</f>
        <v>1</v>
      </c>
      <c r="T443" s="230">
        <f t="shared" ref="T443:AW443" si="542">T412</f>
        <v>1</v>
      </c>
      <c r="U443" s="230"/>
      <c r="V443" s="752"/>
      <c r="W443" s="230"/>
      <c r="X443" s="752"/>
      <c r="Y443" s="752"/>
      <c r="Z443" s="230"/>
      <c r="AA443" s="230"/>
      <c r="AB443" s="234">
        <f t="shared" si="542"/>
        <v>14285.099999999999</v>
      </c>
      <c r="AC443" s="234">
        <f t="shared" si="542"/>
        <v>12714.900000000001</v>
      </c>
      <c r="AD443" s="234">
        <f t="shared" si="542"/>
        <v>27000</v>
      </c>
      <c r="AE443" s="234">
        <f t="shared" si="542"/>
        <v>27000</v>
      </c>
      <c r="AF443" s="234">
        <f t="shared" si="542"/>
        <v>12714.900000000001</v>
      </c>
      <c r="AG443" s="234">
        <f t="shared" si="542"/>
        <v>14200</v>
      </c>
      <c r="AH443" s="234">
        <f t="shared" si="542"/>
        <v>1455.2999999999993</v>
      </c>
      <c r="AI443" s="234">
        <f t="shared" si="542"/>
        <v>10160</v>
      </c>
      <c r="AJ443" s="234">
        <f t="shared" si="542"/>
        <v>10160</v>
      </c>
      <c r="AK443" s="234">
        <f t="shared" si="542"/>
        <v>10160</v>
      </c>
      <c r="AL443" s="234">
        <f t="shared" si="542"/>
        <v>10160</v>
      </c>
      <c r="AM443" s="234">
        <f t="shared" si="542"/>
        <v>0</v>
      </c>
      <c r="AN443" s="234">
        <f t="shared" si="542"/>
        <v>0</v>
      </c>
      <c r="AO443" s="234">
        <f t="shared" si="542"/>
        <v>2584.6999999999998</v>
      </c>
      <c r="AP443" s="234">
        <f t="shared" si="542"/>
        <v>1658.1</v>
      </c>
      <c r="AQ443" s="234">
        <f t="shared" si="542"/>
        <v>1540.3999999999996</v>
      </c>
      <c r="AR443" s="234">
        <f t="shared" si="542"/>
        <v>0</v>
      </c>
      <c r="AS443" s="234">
        <f t="shared" si="542"/>
        <v>0</v>
      </c>
      <c r="AT443" s="234">
        <f t="shared" si="542"/>
        <v>10160</v>
      </c>
      <c r="AU443" s="234">
        <f t="shared" si="542"/>
        <v>10160</v>
      </c>
      <c r="AV443" s="234">
        <f t="shared" si="542"/>
        <v>0</v>
      </c>
      <c r="AW443" s="234">
        <f t="shared" si="542"/>
        <v>10160</v>
      </c>
      <c r="AX443" s="229"/>
      <c r="AY443" s="840"/>
      <c r="AZ443" s="838"/>
      <c r="BA443" s="840"/>
    </row>
    <row r="444" spans="1:53" s="232" customFormat="1" ht="34.5">
      <c r="B444" s="229"/>
      <c r="C444" s="229"/>
      <c r="D444" s="229"/>
      <c r="E444" s="229"/>
      <c r="F444" s="229"/>
      <c r="G444" s="229"/>
      <c r="H444" s="758"/>
      <c r="I444" s="229"/>
      <c r="J444" s="758"/>
      <c r="K444" s="229"/>
      <c r="L444" s="229"/>
      <c r="M444" s="758"/>
      <c r="N444" s="229"/>
      <c r="O444" s="758"/>
      <c r="P444" s="229"/>
      <c r="Q444" s="229"/>
      <c r="R444" s="229"/>
      <c r="S444" s="230">
        <f>SUM(S437:S443)</f>
        <v>224.75</v>
      </c>
      <c r="T444" s="230">
        <f t="shared" ref="T444:AW444" si="543">SUM(T437:T443)</f>
        <v>16.5</v>
      </c>
      <c r="U444" s="230"/>
      <c r="V444" s="752"/>
      <c r="W444" s="230"/>
      <c r="X444" s="752"/>
      <c r="Y444" s="752"/>
      <c r="Z444" s="230"/>
      <c r="AA444" s="230"/>
      <c r="AB444" s="234">
        <f t="shared" si="543"/>
        <v>1974889.36035</v>
      </c>
      <c r="AC444" s="234">
        <f t="shared" si="543"/>
        <v>1050290.1866000001</v>
      </c>
      <c r="AD444" s="234">
        <f t="shared" si="543"/>
        <v>3025179.5469499999</v>
      </c>
      <c r="AE444" s="234">
        <f t="shared" si="543"/>
        <v>3024828.920225</v>
      </c>
      <c r="AF444" s="234">
        <f t="shared" si="543"/>
        <v>1049939.559875</v>
      </c>
      <c r="AG444" s="234">
        <f t="shared" si="543"/>
        <v>1705775</v>
      </c>
      <c r="AH444" s="234">
        <f t="shared" si="543"/>
        <v>429654.28675000003</v>
      </c>
      <c r="AI444" s="234">
        <f t="shared" si="543"/>
        <v>1212298.625</v>
      </c>
      <c r="AJ444" s="234">
        <f t="shared" si="543"/>
        <v>112999.5</v>
      </c>
      <c r="AK444" s="234">
        <f t="shared" si="543"/>
        <v>1306721.2374999998</v>
      </c>
      <c r="AL444" s="234">
        <f t="shared" si="543"/>
        <v>116005.1875</v>
      </c>
      <c r="AM444" s="234">
        <f t="shared" si="543"/>
        <v>97471.3</v>
      </c>
      <c r="AN444" s="234">
        <f t="shared" si="543"/>
        <v>2787.6249999999995</v>
      </c>
      <c r="AO444" s="234">
        <f t="shared" si="543"/>
        <v>237165.14535000004</v>
      </c>
      <c r="AP444" s="234">
        <f t="shared" si="543"/>
        <v>22314.401249999999</v>
      </c>
      <c r="AQ444" s="234">
        <f t="shared" si="543"/>
        <v>291759.815</v>
      </c>
      <c r="AR444" s="234">
        <f t="shared" si="543"/>
        <v>18546.7</v>
      </c>
      <c r="AS444" s="234">
        <f t="shared" si="543"/>
        <v>0</v>
      </c>
      <c r="AT444" s="234">
        <f t="shared" si="543"/>
        <v>1302589.4249999998</v>
      </c>
      <c r="AU444" s="234">
        <f t="shared" si="543"/>
        <v>114333.375</v>
      </c>
      <c r="AV444" s="234">
        <f t="shared" si="543"/>
        <v>0</v>
      </c>
      <c r="AW444" s="234">
        <f t="shared" si="543"/>
        <v>1407007.625</v>
      </c>
      <c r="AX444" s="229"/>
      <c r="AY444" s="840"/>
      <c r="AZ444" s="838"/>
      <c r="BA444" s="840"/>
    </row>
    <row r="445" spans="1:53" s="765" customFormat="1" ht="38.25">
      <c r="A445" s="759">
        <f>B445-S445-T445</f>
        <v>0</v>
      </c>
      <c r="B445" s="760">
        <f>'[36]штат-розп'!K212</f>
        <v>3</v>
      </c>
      <c r="C445" s="761" t="s">
        <v>1614</v>
      </c>
      <c r="D445" s="762"/>
      <c r="E445" s="762"/>
      <c r="F445" s="762"/>
      <c r="G445" s="762"/>
      <c r="H445" s="758"/>
      <c r="I445" s="762"/>
      <c r="J445" s="758"/>
      <c r="K445" s="762"/>
      <c r="L445" s="762"/>
      <c r="M445" s="758"/>
      <c r="N445" s="762"/>
      <c r="O445" s="758"/>
      <c r="P445" s="762"/>
      <c r="Q445" s="762"/>
      <c r="R445" s="762"/>
      <c r="S445" s="763">
        <f>S12+S13+S14+S15</f>
        <v>3</v>
      </c>
      <c r="T445" s="763">
        <f>T12+T13+T14+T15</f>
        <v>0</v>
      </c>
      <c r="U445" s="763"/>
      <c r="V445" s="752"/>
      <c r="W445" s="763"/>
      <c r="X445" s="752"/>
      <c r="Y445" s="752"/>
      <c r="Z445" s="763"/>
      <c r="AA445" s="763"/>
      <c r="AB445" s="764">
        <f>AB12+AB13+AB14+AB15</f>
        <v>60343.857600000003</v>
      </c>
      <c r="AC445" s="764">
        <f>AC12+AC13+AC14+AC15</f>
        <v>2380.2738499999978</v>
      </c>
      <c r="AD445" s="763"/>
      <c r="AE445" s="763"/>
      <c r="AF445" s="763"/>
      <c r="AG445" s="763"/>
      <c r="AH445" s="763"/>
      <c r="AI445" s="763"/>
      <c r="AJ445" s="763"/>
      <c r="AK445" s="763"/>
      <c r="AL445" s="763"/>
      <c r="AM445" s="763"/>
      <c r="AN445" s="763"/>
      <c r="AO445" s="763"/>
      <c r="AP445" s="763"/>
      <c r="AQ445" s="763"/>
      <c r="AR445" s="763"/>
      <c r="AS445" s="763"/>
      <c r="AT445" s="764">
        <f>AT12+AT13+AT14+AT15</f>
        <v>46418.351999999999</v>
      </c>
      <c r="AU445" s="764">
        <f>AU12+AU13+AU14+AU15</f>
        <v>0</v>
      </c>
      <c r="AV445" s="764">
        <f>AV12+AV13+AV14+AV15</f>
        <v>0</v>
      </c>
      <c r="AW445" s="764">
        <f>AW12+AW13+AW14+AW15</f>
        <v>46418.351999999999</v>
      </c>
      <c r="AX445" s="764">
        <f>AX12+AX13+AX14+AX15</f>
        <v>0</v>
      </c>
      <c r="AY445" s="840"/>
      <c r="AZ445" s="838"/>
      <c r="BA445" s="840"/>
    </row>
    <row r="446" spans="1:53" s="765" customFormat="1" ht="38.25">
      <c r="A446" s="759">
        <f>B446-S446-T446-S447-T447-S448-T448</f>
        <v>0</v>
      </c>
      <c r="B446" s="760">
        <f>'[36]штат-розп'!K213</f>
        <v>13</v>
      </c>
      <c r="C446" s="761" t="s">
        <v>1398</v>
      </c>
      <c r="D446" s="762" t="s">
        <v>1885</v>
      </c>
      <c r="E446" s="762"/>
      <c r="F446" s="762"/>
      <c r="G446" s="762"/>
      <c r="H446" s="758"/>
      <c r="I446" s="762"/>
      <c r="J446" s="758"/>
      <c r="K446" s="762"/>
      <c r="L446" s="762"/>
      <c r="M446" s="758"/>
      <c r="N446" s="762"/>
      <c r="O446" s="758"/>
      <c r="P446" s="762"/>
      <c r="Q446" s="762"/>
      <c r="R446" s="762"/>
      <c r="S446" s="763">
        <f>S131+S183++S205+S245+S291+S381+S353</f>
        <v>7</v>
      </c>
      <c r="T446" s="763">
        <f>T131+T183++T205+T245+T291+T381+T353</f>
        <v>0</v>
      </c>
      <c r="U446" s="763"/>
      <c r="V446" s="752"/>
      <c r="W446" s="763"/>
      <c r="X446" s="752"/>
      <c r="Y446" s="752"/>
      <c r="Z446" s="763"/>
      <c r="AA446" s="763"/>
      <c r="AB446" s="764">
        <f>AB131+AB183++AB205+AB245+AB291+AB381+AB353</f>
        <v>94454.633000000002</v>
      </c>
      <c r="AC446" s="764">
        <f>AC131+AC183++AC205+AC245+AC291+AC381+AC353</f>
        <v>45545.366999999998</v>
      </c>
      <c r="AD446" s="763"/>
      <c r="AE446" s="763"/>
      <c r="AF446" s="763"/>
      <c r="AG446" s="763"/>
      <c r="AH446" s="763"/>
      <c r="AI446" s="763"/>
      <c r="AJ446" s="763"/>
      <c r="AK446" s="763"/>
      <c r="AL446" s="763"/>
      <c r="AM446" s="763"/>
      <c r="AN446" s="763"/>
      <c r="AO446" s="763"/>
      <c r="AP446" s="763"/>
      <c r="AQ446" s="763"/>
      <c r="AR446" s="763"/>
      <c r="AS446" s="763"/>
      <c r="AT446" s="764">
        <f>AT131+AT183++AT205+AT245+AT291+AT381+AT353</f>
        <v>72657.41</v>
      </c>
      <c r="AU446" s="764">
        <f>AU131+AU183++AU205+AU245+AU291+AU381+AU353</f>
        <v>0</v>
      </c>
      <c r="AV446" s="764">
        <f>AV131+AV183++AV205+AV245+AV291+AV381+AV353</f>
        <v>0</v>
      </c>
      <c r="AW446" s="764">
        <f>AW131+AW183++AW205+AW245+AW291+AW381+AW353</f>
        <v>72657.41</v>
      </c>
      <c r="AX446" s="764">
        <f>AX131+AX183++AX205+AX245+AX291+AX381+AX353</f>
        <v>0</v>
      </c>
      <c r="AY446" s="840"/>
      <c r="AZ446" s="838"/>
      <c r="BA446" s="840"/>
    </row>
    <row r="447" spans="1:53" s="765" customFormat="1" ht="38.25">
      <c r="A447" s="759"/>
      <c r="B447" s="762"/>
      <c r="C447" s="761" t="s">
        <v>1398</v>
      </c>
      <c r="D447" s="762" t="s">
        <v>1836</v>
      </c>
      <c r="E447" s="762"/>
      <c r="F447" s="762"/>
      <c r="G447" s="762"/>
      <c r="H447" s="758"/>
      <c r="I447" s="762"/>
      <c r="J447" s="758"/>
      <c r="K447" s="762"/>
      <c r="L447" s="762"/>
      <c r="M447" s="758"/>
      <c r="N447" s="762"/>
      <c r="O447" s="758"/>
      <c r="P447" s="762"/>
      <c r="Q447" s="762"/>
      <c r="R447" s="762"/>
      <c r="S447" s="763">
        <f>S17</f>
        <v>1</v>
      </c>
      <c r="T447" s="763">
        <f>T17</f>
        <v>0</v>
      </c>
      <c r="U447" s="763"/>
      <c r="V447" s="752"/>
      <c r="W447" s="763"/>
      <c r="X447" s="752"/>
      <c r="Y447" s="752"/>
      <c r="Z447" s="763"/>
      <c r="AA447" s="763"/>
      <c r="AB447" s="764">
        <f>AB17</f>
        <v>10584.970499999999</v>
      </c>
      <c r="AC447" s="764">
        <f>AC17</f>
        <v>2915.0295000000006</v>
      </c>
      <c r="AD447" s="763"/>
      <c r="AE447" s="763"/>
      <c r="AF447" s="763"/>
      <c r="AG447" s="763"/>
      <c r="AH447" s="763"/>
      <c r="AI447" s="763"/>
      <c r="AJ447" s="763"/>
      <c r="AK447" s="763"/>
      <c r="AL447" s="763"/>
      <c r="AM447" s="763"/>
      <c r="AN447" s="763"/>
      <c r="AO447" s="763"/>
      <c r="AP447" s="763"/>
      <c r="AQ447" s="763"/>
      <c r="AR447" s="763"/>
      <c r="AS447" s="763"/>
      <c r="AT447" s="764">
        <f>AT17</f>
        <v>8142.2849999999999</v>
      </c>
      <c r="AU447" s="764">
        <f>AU17</f>
        <v>0</v>
      </c>
      <c r="AV447" s="764">
        <f>AV17</f>
        <v>0</v>
      </c>
      <c r="AW447" s="764">
        <f>AW17</f>
        <v>8142.2849999999999</v>
      </c>
      <c r="AX447" s="764">
        <f>AX17</f>
        <v>0</v>
      </c>
      <c r="AY447" s="840"/>
      <c r="AZ447" s="838"/>
      <c r="BA447" s="840"/>
    </row>
    <row r="448" spans="1:53" s="765" customFormat="1" ht="38.25">
      <c r="A448" s="759"/>
      <c r="B448" s="762"/>
      <c r="C448" s="761" t="s">
        <v>1398</v>
      </c>
      <c r="D448" s="762" t="s">
        <v>1886</v>
      </c>
      <c r="E448" s="762"/>
      <c r="F448" s="762"/>
      <c r="G448" s="762"/>
      <c r="H448" s="758"/>
      <c r="I448" s="762"/>
      <c r="J448" s="758"/>
      <c r="K448" s="762"/>
      <c r="L448" s="762"/>
      <c r="M448" s="758"/>
      <c r="N448" s="762"/>
      <c r="O448" s="758"/>
      <c r="P448" s="762"/>
      <c r="Q448" s="762"/>
      <c r="R448" s="762"/>
      <c r="S448" s="763">
        <f>S16+S21+S44+S46+S47</f>
        <v>5</v>
      </c>
      <c r="T448" s="763">
        <f>T16+T21+T44+T46+T47</f>
        <v>0</v>
      </c>
      <c r="U448" s="763"/>
      <c r="V448" s="752"/>
      <c r="W448" s="763"/>
      <c r="X448" s="752"/>
      <c r="Y448" s="752"/>
      <c r="Z448" s="763"/>
      <c r="AA448" s="763"/>
      <c r="AB448" s="764">
        <f>AB16+AB21+AB44+AB46+AB47</f>
        <v>47908.715499999998</v>
      </c>
      <c r="AC448" s="764">
        <f>AC16+AC21+AC44+AC46+AC47</f>
        <v>0</v>
      </c>
      <c r="AD448" s="763"/>
      <c r="AE448" s="763"/>
      <c r="AF448" s="763"/>
      <c r="AG448" s="763"/>
      <c r="AH448" s="763"/>
      <c r="AI448" s="763"/>
      <c r="AJ448" s="763"/>
      <c r="AK448" s="763"/>
      <c r="AL448" s="763"/>
      <c r="AM448" s="763"/>
      <c r="AN448" s="763"/>
      <c r="AO448" s="763"/>
      <c r="AP448" s="763"/>
      <c r="AQ448" s="763"/>
      <c r="AR448" s="763"/>
      <c r="AS448" s="763"/>
      <c r="AT448" s="764">
        <f>AT16+AT21+AT44+AT46+AT47</f>
        <v>40794.715499999998</v>
      </c>
      <c r="AU448" s="764">
        <f>AU16+AU21+AU44+AU46+AU47</f>
        <v>0</v>
      </c>
      <c r="AV448" s="764">
        <f>AV16+AV21+AV44+AV46+AV47</f>
        <v>0</v>
      </c>
      <c r="AW448" s="764">
        <f>AW16+AW21+AW44+AW46+AW47</f>
        <v>40794.715499999998</v>
      </c>
      <c r="AX448" s="764">
        <f>AX16+AX21+AX44+AX46+AX47</f>
        <v>20095.873500000002</v>
      </c>
      <c r="AY448" s="840"/>
      <c r="AZ448" s="838"/>
      <c r="BA448" s="840"/>
    </row>
    <row r="449" spans="1:53" s="765" customFormat="1" ht="38.25">
      <c r="A449" s="759">
        <f>B449-S449-T449</f>
        <v>1</v>
      </c>
      <c r="B449" s="760">
        <f>'[36]штат-розп'!K214</f>
        <v>41.25</v>
      </c>
      <c r="C449" s="761" t="s">
        <v>1500</v>
      </c>
      <c r="D449" s="762"/>
      <c r="E449" s="762"/>
      <c r="F449" s="762"/>
      <c r="G449" s="762"/>
      <c r="H449" s="758"/>
      <c r="I449" s="762"/>
      <c r="J449" s="758"/>
      <c r="K449" s="762"/>
      <c r="L449" s="762"/>
      <c r="M449" s="758"/>
      <c r="N449" s="762"/>
      <c r="O449" s="758"/>
      <c r="P449" s="762"/>
      <c r="Q449" s="762"/>
      <c r="R449" s="762"/>
      <c r="S449" s="763">
        <f>S113+S140+S164+S185+S207+S229+S258+S299+S328+S355+S371+S382+S401-S446</f>
        <v>30.75</v>
      </c>
      <c r="T449" s="763">
        <f>T113+T140+T164+T185+T207+T229+T258+T299+T328+T355+T371+T382+T401-T446</f>
        <v>9.5</v>
      </c>
      <c r="U449" s="763"/>
      <c r="V449" s="752"/>
      <c r="W449" s="763"/>
      <c r="X449" s="752"/>
      <c r="Y449" s="752"/>
      <c r="Z449" s="763"/>
      <c r="AA449" s="763"/>
      <c r="AB449" s="764">
        <f>AB113+AB140+AB164+AB185+AB207+AB229+AB258+AB299+AB328+AB355+AB371+AB382+AB401-AB446</f>
        <v>380017.29125000001</v>
      </c>
      <c r="AC449" s="764">
        <f>AC113+AC140+AC164+AC185+AC207+AC229+AC258+AC299+AC328+AC355+AC371+AC382+AC401-AC446</f>
        <v>424982.70875000011</v>
      </c>
      <c r="AD449" s="763"/>
      <c r="AE449" s="763"/>
      <c r="AF449" s="763"/>
      <c r="AG449" s="763"/>
      <c r="AH449" s="763"/>
      <c r="AI449" s="763"/>
      <c r="AJ449" s="763"/>
      <c r="AK449" s="763"/>
      <c r="AL449" s="763"/>
      <c r="AM449" s="763"/>
      <c r="AN449" s="763"/>
      <c r="AO449" s="763"/>
      <c r="AP449" s="763"/>
      <c r="AQ449" s="763"/>
      <c r="AR449" s="763"/>
      <c r="AS449" s="763"/>
      <c r="AT449" s="764">
        <f>AT113+AT140+AT164+AT185+AT207+AT229+AT258+AT299+AT328+AT355+AT371+AT382+AT401-AT446</f>
        <v>223405.58749999994</v>
      </c>
      <c r="AU449" s="764">
        <f>AU113+AU140+AU164+AU185+AU207+AU229+AU258+AU299+AU328+AU355+AU371+AU382+AU401-AU446</f>
        <v>74137.325000000012</v>
      </c>
      <c r="AV449" s="764">
        <f>AV113+AV140+AV164+AV185+AV207+AV229+AV258+AV299+AV328+AV355+AV371+AV382+AV401-AV446</f>
        <v>0</v>
      </c>
      <c r="AW449" s="764">
        <f>AW113+AW140+AW164+AW185+AW207+AW229+AW258+AW299+AW328+AW355+AW371+AW382+AW401-AW446</f>
        <v>314276.98749999993</v>
      </c>
      <c r="AX449" s="764">
        <f>AX113+AX140+AX164+AX185+AX207+AX229+AX258+AX299+AX328+AX355+AX371+AX382+AX401-AX446</f>
        <v>0</v>
      </c>
      <c r="AY449" s="840"/>
      <c r="AZ449" s="838"/>
      <c r="BA449" s="840"/>
    </row>
    <row r="450" spans="1:53" s="765" customFormat="1" ht="38.25">
      <c r="A450" s="759">
        <f>B450-S450-T450</f>
        <v>0</v>
      </c>
      <c r="B450" s="760">
        <f>'[36]штат-розп'!K215</f>
        <v>97.5</v>
      </c>
      <c r="C450" s="761" t="s">
        <v>1581</v>
      </c>
      <c r="D450" s="762"/>
      <c r="E450" s="762"/>
      <c r="F450" s="762"/>
      <c r="G450" s="762"/>
      <c r="H450" s="758"/>
      <c r="I450" s="762"/>
      <c r="J450" s="758"/>
      <c r="K450" s="762"/>
      <c r="L450" s="762"/>
      <c r="M450" s="758"/>
      <c r="N450" s="762"/>
      <c r="O450" s="758"/>
      <c r="P450" s="762"/>
      <c r="Q450" s="762"/>
      <c r="R450" s="762"/>
      <c r="S450" s="766">
        <f>S30+S126+S152+S172+S194+S216+S237+S267+S273+S313+S336+S348+S363+S377+S392+S406+S412</f>
        <v>95</v>
      </c>
      <c r="T450" s="766">
        <f>T30+T126+T152+T172+T194+T216+T237+T267+T273+T313+T336+T348+T363+T377+T392+T406+T412</f>
        <v>2.5</v>
      </c>
      <c r="U450" s="766"/>
      <c r="V450" s="747"/>
      <c r="W450" s="766"/>
      <c r="X450" s="747"/>
      <c r="Y450" s="747"/>
      <c r="Z450" s="766"/>
      <c r="AA450" s="766"/>
      <c r="AB450" s="764">
        <f>AB30+AB126+AB152+AB172+AB194+AB216+AB237+AB267+AB273+AB313+AB336+AB348+AB363+AB377+AB392+AB406+AB412</f>
        <v>741783.19249999989</v>
      </c>
      <c r="AC450" s="764">
        <f>AC30+AC126+AC152+AC172+AC194+AC216+AC237+AC267+AC273+AC313+AC336+AC348+AC363+AC377+AC392+AC406+AC412</f>
        <v>574466.80750000011</v>
      </c>
      <c r="AD450" s="766"/>
      <c r="AE450" s="766"/>
      <c r="AF450" s="766"/>
      <c r="AG450" s="766"/>
      <c r="AH450" s="766"/>
      <c r="AI450" s="766"/>
      <c r="AJ450" s="766"/>
      <c r="AK450" s="766"/>
      <c r="AL450" s="766"/>
      <c r="AM450" s="766"/>
      <c r="AN450" s="766"/>
      <c r="AO450" s="766"/>
      <c r="AP450" s="766"/>
      <c r="AQ450" s="766"/>
      <c r="AR450" s="766"/>
      <c r="AS450" s="766"/>
      <c r="AT450" s="764">
        <f>AT30+AT126+AT152+AT172+AT194+AT216+AT237+AT267+AT273+AT313+AT336+AT348+AT363+AT377+AT392+AT406+AT412</f>
        <v>566342.47499999998</v>
      </c>
      <c r="AU450" s="764">
        <f>AU30+AU126+AU152+AU172+AU194+AU216+AU237+AU267+AU273+AU313+AU336+AU348+AU363+AU377+AU392+AU406+AU412</f>
        <v>19467.25</v>
      </c>
      <c r="AV450" s="764">
        <f>AV30+AV126+AV152+AV172+AV194+AV216+AV237+AV267+AV273+AV313+AV336+AV348+AV363+AV377+AV392+AV406+AV412</f>
        <v>0</v>
      </c>
      <c r="AW450" s="764">
        <f>AW30+AW126+AW152+AW172+AW194+AW216+AW237+AW267+AW273+AW313+AW336+AW348+AW363+AW377+AW392+AW406+AW412</f>
        <v>568962.47499999998</v>
      </c>
      <c r="AX450" s="764">
        <f>AX30+AX126+AX152+AX172+AX194+AX216+AX237+AX267+AX273+AX313+AX336+AX348+AX363+AX377+AX392+AX406+AX412</f>
        <v>0</v>
      </c>
      <c r="AY450" s="840"/>
      <c r="AZ450" s="838"/>
      <c r="BA450" s="840"/>
    </row>
    <row r="451" spans="1:53" s="765" customFormat="1" ht="38.25">
      <c r="A451" s="759">
        <f>B451-S451-T451</f>
        <v>-1</v>
      </c>
      <c r="B451" s="760">
        <f>'[36]штат-розп'!K216</f>
        <v>43</v>
      </c>
      <c r="C451" s="761" t="s">
        <v>1582</v>
      </c>
      <c r="D451" s="762"/>
      <c r="E451" s="762"/>
      <c r="F451" s="762"/>
      <c r="G451" s="762"/>
      <c r="H451" s="758"/>
      <c r="I451" s="762"/>
      <c r="J451" s="758"/>
      <c r="K451" s="762"/>
      <c r="L451" s="762"/>
      <c r="M451" s="758"/>
      <c r="N451" s="762"/>
      <c r="O451" s="758"/>
      <c r="P451" s="762"/>
      <c r="Q451" s="762"/>
      <c r="R451" s="762"/>
      <c r="S451" s="763">
        <f>S159+S179+S201+S223+S241+S281+S287+S320+S343+S366+S395</f>
        <v>44</v>
      </c>
      <c r="T451" s="763">
        <f>T159+T179+T201+T223+T241+T281+T287+T320+T343+T366+T395</f>
        <v>0</v>
      </c>
      <c r="U451" s="763"/>
      <c r="V451" s="752"/>
      <c r="W451" s="763"/>
      <c r="X451" s="752"/>
      <c r="Y451" s="752"/>
      <c r="Z451" s="763"/>
      <c r="AA451" s="763"/>
      <c r="AB451" s="764">
        <f>AB159+AB179+AB201+AB223+AB241+AB281+AB287+AB320+AB343+AB366+AB395</f>
        <v>329668.7</v>
      </c>
      <c r="AC451" s="764">
        <f>AC159+AC179+AC201+AC223+AC241+AC281+AC287+AC320+AC343+AC366+AC395</f>
        <v>0</v>
      </c>
      <c r="AD451" s="763"/>
      <c r="AE451" s="763"/>
      <c r="AF451" s="763"/>
      <c r="AG451" s="763"/>
      <c r="AH451" s="763"/>
      <c r="AI451" s="763"/>
      <c r="AJ451" s="763"/>
      <c r="AK451" s="763"/>
      <c r="AL451" s="763"/>
      <c r="AM451" s="763"/>
      <c r="AN451" s="763"/>
      <c r="AO451" s="763"/>
      <c r="AP451" s="763"/>
      <c r="AQ451" s="763"/>
      <c r="AR451" s="763"/>
      <c r="AS451" s="763"/>
      <c r="AT451" s="764">
        <f>AT159+AT179+AT201+AT223+AT241+AT281+AT287+AT320+AT343+AT366+AT395</f>
        <v>172687</v>
      </c>
      <c r="AU451" s="764">
        <f>AU159+AU179+AU201+AU223+AU241+AU281+AU287+AU320+AU343+AU366+AU395</f>
        <v>0</v>
      </c>
      <c r="AV451" s="764">
        <f>AV159+AV179+AV201+AV223+AV241+AV281+AV287+AV320+AV343+AV366+AV395</f>
        <v>0</v>
      </c>
      <c r="AW451" s="764">
        <f>AW159+AW179+AW201+AW223+AW241+AW281+AW287+AW320+AW343+AW366+AW395</f>
        <v>172687</v>
      </c>
      <c r="AX451" s="764">
        <f>AX159+AX179+AX201+AX223+AX241+AX281+AX287+AX320+AX343+AX366+AX395</f>
        <v>0</v>
      </c>
      <c r="AY451" s="840"/>
      <c r="AZ451" s="838"/>
      <c r="BA451" s="840"/>
    </row>
    <row r="452" spans="1:53" s="765" customFormat="1" ht="38.25">
      <c r="A452" s="759">
        <f>B452-S452-T452</f>
        <v>0</v>
      </c>
      <c r="B452" s="760">
        <f>'[36]штат-розп'!K217</f>
        <v>43.5</v>
      </c>
      <c r="C452" s="761" t="s">
        <v>1399</v>
      </c>
      <c r="D452" s="762"/>
      <c r="E452" s="762"/>
      <c r="F452" s="762"/>
      <c r="G452" s="762"/>
      <c r="H452" s="758"/>
      <c r="I452" s="762"/>
      <c r="J452" s="758"/>
      <c r="K452" s="762"/>
      <c r="L452" s="762"/>
      <c r="M452" s="758"/>
      <c r="N452" s="762"/>
      <c r="O452" s="758"/>
      <c r="P452" s="762"/>
      <c r="Q452" s="762"/>
      <c r="R452" s="762"/>
      <c r="S452" s="763">
        <f>S18+S22+S23+S24+S25+S26+S29+S31+S42+S49+S50+S51+S52+S53+S54+S56+S57+S58+S59+S61+S62+S63+S64+S65+S66+S67+S69+S70+S71+S72+S73+S74+S76+S77+S78+S79+S80+S81+S82+S83+S84+S85+S86</f>
        <v>39</v>
      </c>
      <c r="T452" s="763">
        <f>T18+T22+T23+T24+T25+T26+T29+T31+T42+T49+T50+T51+T52+T53+T54+T56+T57+T58+T59+T61+T62+T63+T64+T65+T66+T67+T69+T70+T71+T72+T73+T74+T76+T77+T78+T79+T80+T81+T82+T83+T84+T85+T86</f>
        <v>4.5</v>
      </c>
      <c r="U452" s="763"/>
      <c r="V452" s="752"/>
      <c r="W452" s="763"/>
      <c r="X452" s="752"/>
      <c r="Y452" s="752"/>
      <c r="Z452" s="763"/>
      <c r="AA452" s="763"/>
      <c r="AB452" s="764">
        <f>AB18+AB22+AB23+AB24+AB25+AB26+AB29+AB31+AB42+AB49+AB50+AB51+AB52+AB53+AB54+AB56+AB57+AB58+AB59+AB61+AB62+AB63+AB64+AB65+AB66+AB67+AB69+AB70+AB71+AB72+AB73+AB74+AB76+AB77+AB78+AB79+AB80+AB81+AB82+AB83+AB84+AB86+AB85</f>
        <v>310128</v>
      </c>
      <c r="AC452" s="764">
        <f>AC18+AC22+AC23+AC24+AC25+AC26+AC29+AC31+AC42+AC49+AC50+AC51+AC52+AC53+AC54+AC56+AC57+AC58+AC59+AC61+AC62+AC63+AC64+AC65+AC66+AC67+AC69+AC70+AC71+AC72+AC73+AC74+AC76+AC77+AC78+AC79+AC80+AC81+AC82+AC83+AC84+AC86+AC85</f>
        <v>0</v>
      </c>
      <c r="AD452" s="763"/>
      <c r="AE452" s="763"/>
      <c r="AF452" s="763"/>
      <c r="AG452" s="763"/>
      <c r="AH452" s="763"/>
      <c r="AI452" s="763"/>
      <c r="AJ452" s="763"/>
      <c r="AK452" s="763"/>
      <c r="AL452" s="763"/>
      <c r="AM452" s="763"/>
      <c r="AN452" s="763"/>
      <c r="AO452" s="763"/>
      <c r="AP452" s="763"/>
      <c r="AQ452" s="763"/>
      <c r="AR452" s="763"/>
      <c r="AS452" s="763"/>
      <c r="AT452" s="764">
        <f>AT18+AT22+AT23+AT24+AT25+AT26+AT29+AT31+AT42+AT49+AT50+AT51+AT52+AT53+AT54+AT56+AT57+AT58+AT59+AT61+AT62+AT63+AT64+AT65+AT66+AT67+AT69+AT70+AT71+AT72+AT73+AT74+AT76+AT77+AT78+AT79+AT80+AT81+AT82+AT83+AT84+AT86</f>
        <v>172141.6</v>
      </c>
      <c r="AU452" s="764">
        <f>AU18+AU22+AU23+AU24+AU25+AU26+AU29+AU31+AU42+AU49+AU50+AU51+AU52+AU53+AU54+AU56+AU57+AU58+AU59+AU61+AU62+AU63+AU64+AU65+AU66+AU67+AU69+AU70+AU71+AU72+AU73+AU74+AU76+AU77+AU78+AU79+AU80+AU81+AU82+AU83+AU84+AU86</f>
        <v>18843.8</v>
      </c>
      <c r="AV452" s="764">
        <f>AV18+AV22+AV23+AV24+AV25+AV26+AV29+AV31+AV42+AV49+AV50+AV51+AV52+AV53+AV54+AV56+AV57+AV58+AV59+AV61+AV62+AV63+AV64+AV65+AV66+AV67+AV69+AV70+AV71+AV72+AV73+AV74+AV76+AV77+AV78+AV79+AV80+AV81+AV82+AV83+AV84+AV86</f>
        <v>0</v>
      </c>
      <c r="AW452" s="764">
        <f>AW18+AW22+AW23+AW24+AW25+AW26+AW29+AW31+AW42+AW49+AW50+AW51+AW52+AW53+AW54+AW56+AW57+AW58+AW59+AW61+AW62+AW63+AW64+AW65+AW66+AW67+AW69+AW70+AW71+AW72+AW73+AW74+AW76+AW77+AW78+AW79+AW80+AW81+AW82+AW83+AW84+AW86+AW85</f>
        <v>183068.40000000002</v>
      </c>
      <c r="AX452" s="764">
        <f>AX18+AX22+AX23+AX24+AX25+AX26+AX29+AX31+AX42+AX49+AX50+AX51+AX52+AX53+AX54+AX56+AX57+AX58+AX59+AX61+AX62+AX63+AX64+AX65+AX66+AX67+AX69+AX70+AX71+AX72+AX73+AX74+AX76+AX77+AX78+AX79+AX80+AX81+AX82+AX83+AX84+AX86+AX85</f>
        <v>83200</v>
      </c>
      <c r="AY452" s="840"/>
      <c r="AZ452" s="838"/>
      <c r="BA452" s="840"/>
    </row>
    <row r="453" spans="1:53" s="765" customFormat="1" ht="38.25">
      <c r="B453" s="762"/>
      <c r="C453" s="762"/>
      <c r="D453" s="762"/>
      <c r="E453" s="762"/>
      <c r="F453" s="762"/>
      <c r="G453" s="762"/>
      <c r="H453" s="758"/>
      <c r="I453" s="762"/>
      <c r="J453" s="758"/>
      <c r="K453" s="762"/>
      <c r="L453" s="762"/>
      <c r="M453" s="758"/>
      <c r="N453" s="762"/>
      <c r="O453" s="758"/>
      <c r="P453" s="762"/>
      <c r="Q453" s="762"/>
      <c r="R453" s="762"/>
      <c r="S453" s="763">
        <f>SUM(S445:S452)</f>
        <v>224.75</v>
      </c>
      <c r="T453" s="763">
        <f>SUM(T445:T452)</f>
        <v>16.5</v>
      </c>
      <c r="U453" s="763"/>
      <c r="V453" s="752"/>
      <c r="W453" s="763"/>
      <c r="X453" s="752"/>
      <c r="Y453" s="752"/>
      <c r="Z453" s="763"/>
      <c r="AA453" s="763"/>
      <c r="AB453" s="764">
        <f>SUM(AB445:AB452)</f>
        <v>1974889.36035</v>
      </c>
      <c r="AC453" s="764">
        <f>SUM(AC445:AC452)</f>
        <v>1050290.1866000001</v>
      </c>
      <c r="AD453" s="763"/>
      <c r="AE453" s="763"/>
      <c r="AF453" s="763"/>
      <c r="AG453" s="763"/>
      <c r="AH453" s="763"/>
      <c r="AI453" s="763"/>
      <c r="AJ453" s="763"/>
      <c r="AK453" s="763"/>
      <c r="AL453" s="763"/>
      <c r="AM453" s="763"/>
      <c r="AN453" s="763"/>
      <c r="AO453" s="763"/>
      <c r="AP453" s="763"/>
      <c r="AQ453" s="763"/>
      <c r="AR453" s="763"/>
      <c r="AS453" s="763"/>
      <c r="AT453" s="764">
        <f>SUM(AT445:AT452)</f>
        <v>1302589.425</v>
      </c>
      <c r="AU453" s="764">
        <f>SUM(AU445:AU452)</f>
        <v>112448.37500000001</v>
      </c>
      <c r="AV453" s="764">
        <f>SUM(AV445:AV452)</f>
        <v>0</v>
      </c>
      <c r="AW453" s="764">
        <f>SUM(AW445:AW452)</f>
        <v>1407007.625</v>
      </c>
      <c r="AX453" s="764">
        <f>SUM(AX445:AX452)</f>
        <v>103295.8735</v>
      </c>
      <c r="AY453" s="836">
        <f>SUM(AY12:AY452)</f>
        <v>1407007.6250000009</v>
      </c>
      <c r="AZ453" s="836"/>
      <c r="BA453" s="836">
        <f>SUM(BA12:BA452)</f>
        <v>103295.8735</v>
      </c>
    </row>
    <row r="454" spans="1:53" s="256" customFormat="1" ht="61.5" customHeight="1">
      <c r="B454" s="235"/>
      <c r="C454" s="236"/>
      <c r="D454" s="235"/>
      <c r="E454" s="235"/>
      <c r="F454" s="235"/>
      <c r="G454" s="235"/>
      <c r="H454" s="767"/>
      <c r="I454" s="235"/>
      <c r="J454" s="767"/>
      <c r="K454" s="235"/>
      <c r="L454" s="235"/>
      <c r="M454" s="767"/>
      <c r="N454" s="235"/>
      <c r="O454" s="767"/>
      <c r="P454" s="235"/>
      <c r="Q454" s="235"/>
      <c r="R454" s="235"/>
      <c r="S454" s="254">
        <f>S453+T453</f>
        <v>241.25</v>
      </c>
      <c r="T454" s="254"/>
      <c r="U454" s="235"/>
      <c r="V454" s="767"/>
      <c r="W454" s="235"/>
      <c r="X454" s="767"/>
      <c r="Y454" s="767"/>
      <c r="Z454" s="235"/>
      <c r="AA454" s="235"/>
      <c r="AB454" s="235"/>
      <c r="AC454" s="255"/>
      <c r="AD454" s="255"/>
      <c r="AE454" s="235"/>
      <c r="AF454" s="235"/>
      <c r="AG454" s="255"/>
      <c r="AH454" s="235"/>
      <c r="AI454" s="255"/>
      <c r="AJ454" s="768"/>
      <c r="AK454" s="768"/>
      <c r="AL454" s="768"/>
      <c r="AM454" s="768"/>
      <c r="AN454" s="768"/>
      <c r="AO454" s="255"/>
      <c r="AP454" s="255"/>
      <c r="AQ454" s="255"/>
      <c r="AR454" s="255"/>
      <c r="AS454" s="255"/>
      <c r="AT454" s="255"/>
      <c r="AU454" s="768"/>
      <c r="AV454" s="768"/>
      <c r="AW454" s="768"/>
      <c r="AY454" s="835">
        <f>AW453-AY453</f>
        <v>0</v>
      </c>
      <c r="AZ454" s="838"/>
      <c r="BA454" s="839"/>
    </row>
    <row r="455" spans="1:53" s="256" customFormat="1" ht="61.5" customHeight="1">
      <c r="B455" s="235"/>
      <c r="C455" s="236"/>
      <c r="D455" s="235"/>
      <c r="E455" s="235"/>
      <c r="F455" s="235"/>
      <c r="G455" s="235"/>
      <c r="H455" s="767"/>
      <c r="I455" s="235"/>
      <c r="J455" s="767"/>
      <c r="K455" s="235"/>
      <c r="L455" s="235"/>
      <c r="M455" s="767"/>
      <c r="N455" s="235"/>
      <c r="O455" s="767"/>
      <c r="P455" s="235"/>
      <c r="Q455" s="235"/>
      <c r="R455" s="235"/>
      <c r="S455" s="254"/>
      <c r="T455" s="254"/>
      <c r="U455" s="235"/>
      <c r="V455" s="767"/>
      <c r="W455" s="235"/>
      <c r="X455" s="767"/>
      <c r="Y455" s="767"/>
      <c r="Z455" s="235"/>
      <c r="AA455" s="235"/>
      <c r="AB455" s="769"/>
      <c r="AC455" s="769"/>
      <c r="AD455" s="255"/>
      <c r="AE455" s="235"/>
      <c r="AF455" s="235"/>
      <c r="AG455" s="255"/>
      <c r="AH455" s="235"/>
      <c r="AI455" s="255"/>
      <c r="AJ455" s="768"/>
      <c r="AK455" s="768"/>
      <c r="AL455" s="768"/>
      <c r="AM455" s="768"/>
      <c r="AN455" s="768"/>
      <c r="AO455" s="255"/>
      <c r="AP455" s="255"/>
      <c r="AQ455" s="255"/>
      <c r="AR455" s="255"/>
      <c r="AS455" s="255"/>
      <c r="AT455" s="255"/>
      <c r="AU455" s="768"/>
      <c r="AV455" s="776"/>
      <c r="AW455" s="76"/>
      <c r="AX455" s="835"/>
      <c r="AZ455" s="834"/>
    </row>
    <row r="456" spans="1:53" s="76" customFormat="1" ht="50.1" customHeight="1">
      <c r="B456" s="237"/>
      <c r="C456" s="238" t="s">
        <v>1341</v>
      </c>
      <c r="D456" s="239"/>
      <c r="E456" s="240" t="s">
        <v>1383</v>
      </c>
      <c r="F456" s="226"/>
      <c r="G456" s="226"/>
      <c r="H456" s="771"/>
      <c r="I456" s="226"/>
      <c r="J456" s="772"/>
      <c r="K456" s="226"/>
      <c r="L456" s="225"/>
      <c r="M456" s="773"/>
      <c r="N456" s="225"/>
      <c r="O456" s="773"/>
      <c r="P456" s="225"/>
      <c r="Q456" s="225"/>
      <c r="R456" s="225"/>
      <c r="S456" s="225"/>
      <c r="T456" s="225"/>
      <c r="U456" s="225"/>
      <c r="V456" s="773"/>
      <c r="W456" s="225"/>
      <c r="X456" s="773"/>
      <c r="Y456" s="773"/>
      <c r="Z456" s="225"/>
      <c r="AA456" s="225"/>
      <c r="AB456" s="225"/>
      <c r="AC456" s="774"/>
      <c r="AD456" s="774"/>
      <c r="AE456" s="247"/>
      <c r="AF456" s="247"/>
      <c r="AG456" s="774"/>
      <c r="AH456" s="247"/>
      <c r="AI456" s="775"/>
      <c r="AJ456" s="775"/>
      <c r="AK456" s="775"/>
      <c r="AL456" s="775"/>
      <c r="AM456" s="775"/>
      <c r="AN456" s="775"/>
      <c r="AO456" s="252"/>
      <c r="AP456" s="252"/>
      <c r="AQ456" s="252"/>
      <c r="AR456" s="252"/>
      <c r="AS456" s="252"/>
      <c r="AT456" s="775"/>
      <c r="AU456" s="776"/>
      <c r="AV456" s="776"/>
      <c r="AX456" s="835"/>
      <c r="AZ456" s="834"/>
    </row>
    <row r="457" spans="1:53" s="76" customFormat="1" ht="50.1" customHeight="1">
      <c r="B457" s="237"/>
      <c r="C457" s="238" t="s">
        <v>1275</v>
      </c>
      <c r="D457" s="239"/>
      <c r="E457" s="240" t="s">
        <v>1825</v>
      </c>
      <c r="F457" s="226"/>
      <c r="G457" s="226"/>
      <c r="H457" s="771"/>
      <c r="I457" s="226"/>
      <c r="J457" s="777"/>
      <c r="K457" s="226"/>
      <c r="L457" s="225"/>
      <c r="M457" s="773"/>
      <c r="N457" s="227"/>
      <c r="O457" s="778"/>
      <c r="P457" s="227"/>
      <c r="Q457" s="227"/>
      <c r="R457" s="227"/>
      <c r="S457" s="227"/>
      <c r="T457" s="227"/>
      <c r="U457" s="227"/>
      <c r="V457" s="778"/>
      <c r="W457" s="227"/>
      <c r="X457" s="773"/>
      <c r="Y457" s="773"/>
      <c r="Z457" s="225"/>
      <c r="AA457" s="225"/>
      <c r="AB457" s="225"/>
      <c r="AC457" s="774"/>
      <c r="AD457" s="774"/>
      <c r="AE457" s="247"/>
      <c r="AF457" s="247"/>
      <c r="AG457" s="774"/>
      <c r="AH457" s="247"/>
      <c r="AI457" s="253"/>
      <c r="AJ457" s="253"/>
      <c r="AK457" s="253"/>
      <c r="AL457" s="253"/>
      <c r="AM457" s="253"/>
      <c r="AN457" s="253"/>
      <c r="AO457" s="252"/>
      <c r="AP457" s="252"/>
      <c r="AQ457" s="252"/>
      <c r="AR457" s="252"/>
      <c r="AS457" s="252"/>
      <c r="AT457" s="253"/>
      <c r="AU457" s="779"/>
      <c r="AV457" s="776"/>
      <c r="AZ457" s="834"/>
    </row>
    <row r="458" spans="1:53" s="76" customFormat="1" ht="50.1" customHeight="1">
      <c r="B458" s="237"/>
      <c r="C458" s="238"/>
      <c r="D458" s="241"/>
      <c r="E458" s="242"/>
      <c r="F458" s="226"/>
      <c r="G458" s="226"/>
      <c r="H458" s="771"/>
      <c r="I458" s="226"/>
      <c r="J458" s="772"/>
      <c r="K458" s="226"/>
      <c r="L458" s="225"/>
      <c r="M458" s="773"/>
      <c r="N458" s="226"/>
      <c r="O458" s="771"/>
      <c r="P458" s="228"/>
      <c r="Q458" s="171"/>
      <c r="R458" s="226"/>
      <c r="S458" s="226"/>
      <c r="T458" s="228"/>
      <c r="U458" s="171"/>
      <c r="V458" s="771"/>
      <c r="W458" s="225"/>
      <c r="X458" s="773"/>
      <c r="Y458" s="773"/>
      <c r="Z458" s="225"/>
      <c r="AA458" s="225"/>
      <c r="AB458" s="225"/>
      <c r="AC458" s="774"/>
      <c r="AD458" s="774"/>
      <c r="AE458" s="247"/>
      <c r="AF458" s="247"/>
      <c r="AG458" s="774"/>
      <c r="AH458" s="247"/>
      <c r="AI458" s="248"/>
      <c r="AJ458" s="248"/>
      <c r="AK458" s="248"/>
      <c r="AL458" s="248"/>
      <c r="AM458" s="248"/>
      <c r="AN458" s="248"/>
      <c r="AO458" s="248"/>
      <c r="AP458" s="248"/>
      <c r="AQ458" s="248"/>
      <c r="AR458" s="248"/>
      <c r="AS458" s="248"/>
      <c r="AT458" s="248"/>
      <c r="AU458" s="780"/>
      <c r="AV458" s="255"/>
      <c r="AZ458" s="834"/>
    </row>
    <row r="459" spans="1:53" s="76" customFormat="1" ht="50.1" customHeight="1">
      <c r="B459" s="237"/>
      <c r="C459" s="238" t="s">
        <v>1276</v>
      </c>
      <c r="D459" s="239"/>
      <c r="E459" s="240" t="s">
        <v>209</v>
      </c>
      <c r="F459" s="226"/>
      <c r="G459" s="226"/>
      <c r="H459" s="771"/>
      <c r="I459" s="228"/>
      <c r="J459" s="777"/>
      <c r="K459" s="226"/>
      <c r="L459" s="225"/>
      <c r="M459" s="773"/>
      <c r="N459" s="226"/>
      <c r="O459" s="771"/>
      <c r="P459" s="228"/>
      <c r="Q459" s="173"/>
      <c r="R459" s="226"/>
      <c r="S459" s="226"/>
      <c r="T459" s="228"/>
      <c r="U459" s="173"/>
      <c r="V459" s="771"/>
      <c r="W459" s="225"/>
      <c r="X459" s="773"/>
      <c r="Y459" s="773"/>
      <c r="Z459" s="225"/>
      <c r="AA459" s="225"/>
      <c r="AB459" s="225"/>
      <c r="AC459" s="774"/>
      <c r="AD459" s="774"/>
      <c r="AE459" s="247"/>
      <c r="AF459" s="247"/>
      <c r="AG459" s="774"/>
      <c r="AH459" s="247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781"/>
      <c r="AV459" s="781"/>
      <c r="AZ459" s="834"/>
    </row>
    <row r="460" spans="1:53" s="76" customFormat="1" ht="50.1" customHeight="1">
      <c r="B460" s="243"/>
      <c r="C460" s="244"/>
      <c r="D460" s="245"/>
      <c r="E460" s="246" t="s">
        <v>1826</v>
      </c>
      <c r="F460" s="170"/>
      <c r="G460" s="170"/>
      <c r="H460" s="783"/>
      <c r="I460" s="143"/>
      <c r="J460" s="777"/>
      <c r="K460" s="170"/>
      <c r="L460" s="169"/>
      <c r="M460" s="784"/>
      <c r="N460" s="170"/>
      <c r="O460" s="783"/>
      <c r="P460" s="143"/>
      <c r="Q460" s="172"/>
      <c r="R460" s="170"/>
      <c r="S460" s="170"/>
      <c r="T460" s="143"/>
      <c r="U460" s="172"/>
      <c r="V460" s="783"/>
      <c r="W460" s="169"/>
      <c r="X460" s="784"/>
      <c r="Y460" s="784"/>
      <c r="Z460" s="169"/>
      <c r="AA460" s="169"/>
      <c r="AB460" s="169"/>
      <c r="AC460" s="785"/>
      <c r="AD460" s="786"/>
      <c r="AE460" s="160"/>
      <c r="AF460" s="160"/>
      <c r="AG460" s="786"/>
      <c r="AH460" s="160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787"/>
      <c r="AV460" s="787"/>
    </row>
    <row r="461" spans="1:53" s="76" customFormat="1" ht="50.1" customHeight="1">
      <c r="B461" s="243"/>
      <c r="C461" s="244"/>
      <c r="D461" s="245"/>
      <c r="E461" s="246" t="s">
        <v>210</v>
      </c>
      <c r="F461" s="170"/>
      <c r="G461" s="170"/>
      <c r="H461" s="783"/>
      <c r="I461" s="143"/>
      <c r="J461" s="772"/>
      <c r="K461" s="170"/>
      <c r="L461" s="169"/>
      <c r="M461" s="784"/>
      <c r="N461" s="170"/>
      <c r="O461" s="783"/>
      <c r="P461" s="143"/>
      <c r="Q461" s="173"/>
      <c r="R461" s="170"/>
      <c r="S461" s="170"/>
      <c r="T461" s="143"/>
      <c r="U461" s="173"/>
      <c r="V461" s="783"/>
      <c r="W461" s="169"/>
      <c r="X461" s="784"/>
      <c r="Y461" s="784"/>
      <c r="Z461" s="169"/>
      <c r="AA461" s="169"/>
      <c r="AB461" s="169"/>
      <c r="AC461" s="786"/>
      <c r="AD461" s="786"/>
      <c r="AE461" s="160"/>
      <c r="AF461" s="160"/>
      <c r="AG461" s="786"/>
      <c r="AH461" s="160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2"/>
      <c r="AU461" s="162"/>
      <c r="AV461" s="161"/>
      <c r="AW461" s="161"/>
    </row>
    <row r="462" spans="1:53" s="78" customFormat="1" ht="50.1" customHeight="1">
      <c r="B462" s="243"/>
      <c r="C462" s="244"/>
      <c r="D462" s="245"/>
      <c r="E462" s="246" t="s">
        <v>1827</v>
      </c>
      <c r="F462" s="170"/>
      <c r="G462" s="170"/>
      <c r="H462" s="783"/>
      <c r="I462" s="143"/>
      <c r="J462" s="772"/>
      <c r="K462" s="170"/>
      <c r="L462" s="169"/>
      <c r="M462" s="784"/>
      <c r="N462" s="170"/>
      <c r="O462" s="783"/>
      <c r="P462" s="143"/>
      <c r="Q462" s="173"/>
      <c r="R462" s="170"/>
      <c r="S462" s="170"/>
      <c r="T462" s="143"/>
      <c r="U462" s="173"/>
      <c r="V462" s="783"/>
      <c r="W462" s="169"/>
      <c r="X462" s="784"/>
      <c r="Y462" s="784"/>
      <c r="Z462" s="169"/>
      <c r="AA462" s="169"/>
      <c r="AB462" s="169"/>
      <c r="AC462" s="786"/>
      <c r="AD462" s="786"/>
      <c r="AE462" s="160"/>
      <c r="AF462" s="160"/>
      <c r="AG462" s="786"/>
      <c r="AH462" s="160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3"/>
      <c r="AU462" s="163"/>
      <c r="AV462" s="161"/>
      <c r="AW462" s="161"/>
    </row>
    <row r="463" spans="1:53" s="79" customFormat="1" ht="50.1" customHeight="1">
      <c r="B463" s="243"/>
      <c r="C463" s="244"/>
      <c r="D463" s="245"/>
      <c r="E463" s="246" t="s">
        <v>1828</v>
      </c>
      <c r="F463" s="170"/>
      <c r="G463" s="170"/>
      <c r="H463" s="783"/>
      <c r="I463" s="143"/>
      <c r="J463" s="772"/>
      <c r="K463" s="170"/>
      <c r="L463" s="169"/>
      <c r="M463" s="784"/>
      <c r="N463" s="170"/>
      <c r="O463" s="783"/>
      <c r="P463" s="143"/>
      <c r="Q463" s="173"/>
      <c r="R463" s="170"/>
      <c r="S463" s="170"/>
      <c r="T463" s="143"/>
      <c r="U463" s="173"/>
      <c r="V463" s="783"/>
      <c r="W463" s="169"/>
      <c r="X463" s="784"/>
      <c r="Y463" s="784"/>
      <c r="Z463" s="169"/>
      <c r="AA463" s="169"/>
      <c r="AB463" s="169"/>
      <c r="AC463" s="786"/>
      <c r="AD463" s="786"/>
      <c r="AE463" s="160"/>
      <c r="AF463" s="160"/>
      <c r="AG463" s="786"/>
      <c r="AH463" s="160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3"/>
      <c r="AU463" s="163"/>
      <c r="AV463" s="161"/>
      <c r="AW463" s="161"/>
    </row>
    <row r="464" spans="1:53" s="76" customFormat="1" ht="50.1" customHeight="1">
      <c r="B464" s="243"/>
      <c r="C464" s="244"/>
      <c r="D464" s="245"/>
      <c r="E464" s="246" t="s">
        <v>1829</v>
      </c>
      <c r="F464" s="170"/>
      <c r="G464" s="170"/>
      <c r="H464" s="783"/>
      <c r="I464" s="143"/>
      <c r="J464" s="772"/>
      <c r="K464" s="170"/>
      <c r="L464" s="169"/>
      <c r="M464" s="784"/>
      <c r="N464" s="170"/>
      <c r="O464" s="783"/>
      <c r="P464" s="143"/>
      <c r="Q464" s="173"/>
      <c r="R464" s="170"/>
      <c r="S464" s="170"/>
      <c r="T464" s="143"/>
      <c r="U464" s="173"/>
      <c r="V464" s="783"/>
      <c r="W464" s="169"/>
      <c r="X464" s="784"/>
      <c r="Y464" s="784"/>
      <c r="Z464" s="169"/>
      <c r="AA464" s="169"/>
      <c r="AB464" s="169"/>
      <c r="AC464" s="786"/>
      <c r="AD464" s="786"/>
      <c r="AE464" s="160"/>
      <c r="AF464" s="160"/>
      <c r="AG464" s="786"/>
      <c r="AH464" s="160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3"/>
      <c r="AU464" s="163"/>
      <c r="AV464" s="161"/>
      <c r="AW464" s="161"/>
    </row>
    <row r="465" spans="2:49" s="76" customFormat="1" ht="50.1" customHeight="1">
      <c r="B465" s="243"/>
      <c r="C465" s="244"/>
      <c r="D465" s="245"/>
      <c r="E465" s="246" t="s">
        <v>1830</v>
      </c>
      <c r="F465" s="170"/>
      <c r="G465" s="170"/>
      <c r="H465" s="783"/>
      <c r="I465" s="143"/>
      <c r="J465" s="772"/>
      <c r="K465" s="170"/>
      <c r="L465" s="169"/>
      <c r="M465" s="784"/>
      <c r="N465" s="170"/>
      <c r="O465" s="783"/>
      <c r="P465" s="143"/>
      <c r="Q465" s="173"/>
      <c r="R465" s="170"/>
      <c r="S465" s="170"/>
      <c r="T465" s="143"/>
      <c r="U465" s="173"/>
      <c r="V465" s="783"/>
      <c r="W465" s="169"/>
      <c r="X465" s="784"/>
      <c r="Y465" s="784"/>
      <c r="Z465" s="169"/>
      <c r="AA465" s="169"/>
      <c r="AB465" s="169"/>
      <c r="AC465" s="786"/>
      <c r="AD465" s="786"/>
      <c r="AE465" s="160"/>
      <c r="AF465" s="160"/>
      <c r="AG465" s="786"/>
      <c r="AH465" s="160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3"/>
      <c r="AU465" s="163"/>
      <c r="AV465" s="161"/>
      <c r="AW465" s="161"/>
    </row>
    <row r="466" spans="2:49" s="76" customFormat="1" ht="50.1" customHeight="1">
      <c r="B466" s="243"/>
      <c r="C466" s="244"/>
      <c r="D466" s="245"/>
      <c r="E466" s="246" t="s">
        <v>1831</v>
      </c>
      <c r="F466" s="170"/>
      <c r="G466" s="170"/>
      <c r="H466" s="783"/>
      <c r="I466" s="143"/>
      <c r="J466" s="772"/>
      <c r="K466" s="170"/>
      <c r="L466" s="169"/>
      <c r="M466" s="784"/>
      <c r="N466" s="170"/>
      <c r="O466" s="783"/>
      <c r="P466" s="143"/>
      <c r="Q466" s="173"/>
      <c r="R466" s="170"/>
      <c r="S466" s="170"/>
      <c r="T466" s="143"/>
      <c r="U466" s="173"/>
      <c r="V466" s="783"/>
      <c r="W466" s="169"/>
      <c r="X466" s="784"/>
      <c r="Y466" s="784"/>
      <c r="Z466" s="169"/>
      <c r="AA466" s="169"/>
      <c r="AB466" s="169"/>
      <c r="AC466" s="786"/>
      <c r="AD466" s="786"/>
      <c r="AE466" s="160"/>
      <c r="AF466" s="160"/>
      <c r="AG466" s="786"/>
      <c r="AH466" s="160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3"/>
      <c r="AU466" s="163"/>
      <c r="AV466" s="161"/>
      <c r="AW466" s="161"/>
    </row>
    <row r="467" spans="2:49" s="76" customFormat="1" ht="50.1" customHeight="1">
      <c r="B467" s="243"/>
      <c r="C467" s="244"/>
      <c r="D467" s="245"/>
      <c r="E467" s="246" t="s">
        <v>1832</v>
      </c>
      <c r="F467" s="170"/>
      <c r="G467" s="170"/>
      <c r="H467" s="783"/>
      <c r="I467" s="143"/>
      <c r="J467" s="772"/>
      <c r="K467" s="170"/>
      <c r="L467" s="169"/>
      <c r="M467" s="784"/>
      <c r="N467" s="170"/>
      <c r="O467" s="783"/>
      <c r="P467" s="143"/>
      <c r="Q467" s="173"/>
      <c r="R467" s="170"/>
      <c r="S467" s="170"/>
      <c r="T467" s="143"/>
      <c r="U467" s="173"/>
      <c r="V467" s="783"/>
      <c r="W467" s="169"/>
      <c r="X467" s="784"/>
      <c r="Y467" s="784"/>
      <c r="Z467" s="169"/>
      <c r="AA467" s="169"/>
      <c r="AB467" s="169"/>
      <c r="AC467" s="786"/>
      <c r="AD467" s="786"/>
      <c r="AE467" s="160"/>
      <c r="AF467" s="160"/>
      <c r="AG467" s="786"/>
      <c r="AH467" s="160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3"/>
      <c r="AU467" s="163"/>
      <c r="AV467" s="161"/>
      <c r="AW467" s="161"/>
    </row>
    <row r="468" spans="2:49" s="76" customFormat="1" ht="24.95" customHeight="1">
      <c r="B468" s="94"/>
      <c r="C468" s="146"/>
      <c r="D468" s="189"/>
      <c r="E468" s="170"/>
      <c r="F468" s="170"/>
      <c r="G468" s="170"/>
      <c r="H468" s="783"/>
      <c r="I468" s="143"/>
      <c r="J468" s="772"/>
      <c r="K468" s="170"/>
      <c r="L468" s="169"/>
      <c r="M468" s="784"/>
      <c r="N468" s="170"/>
      <c r="O468" s="783"/>
      <c r="P468" s="143"/>
      <c r="Q468" s="173"/>
      <c r="R468" s="170"/>
      <c r="S468" s="174"/>
      <c r="T468" s="143"/>
      <c r="U468" s="173"/>
      <c r="V468" s="783"/>
      <c r="W468" s="169"/>
      <c r="X468" s="784"/>
      <c r="Y468" s="784"/>
      <c r="Z468" s="169"/>
      <c r="AA468" s="169"/>
      <c r="AB468" s="169"/>
      <c r="AC468" s="786"/>
      <c r="AD468" s="786"/>
      <c r="AE468" s="160"/>
      <c r="AF468" s="160"/>
      <c r="AG468" s="786"/>
      <c r="AH468" s="160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3"/>
      <c r="AU468" s="163"/>
      <c r="AV468" s="161"/>
      <c r="AW468" s="161"/>
    </row>
    <row r="469" spans="2:49" s="76" customFormat="1" ht="24.95" customHeight="1">
      <c r="B469" s="94"/>
      <c r="C469" s="146"/>
      <c r="D469" s="189"/>
      <c r="E469" s="170"/>
      <c r="F469" s="170"/>
      <c r="G469" s="170"/>
      <c r="H469" s="783"/>
      <c r="I469" s="143"/>
      <c r="J469" s="772"/>
      <c r="K469" s="170"/>
      <c r="L469" s="169"/>
      <c r="M469" s="784"/>
      <c r="N469" s="170"/>
      <c r="O469" s="783"/>
      <c r="P469" s="143"/>
      <c r="Q469" s="173"/>
      <c r="R469" s="170"/>
      <c r="S469" s="174"/>
      <c r="T469" s="143"/>
      <c r="U469" s="173"/>
      <c r="V469" s="783"/>
      <c r="W469" s="169"/>
      <c r="X469" s="784"/>
      <c r="Y469" s="784"/>
      <c r="Z469" s="169"/>
      <c r="AA469" s="169"/>
      <c r="AB469" s="169"/>
      <c r="AC469" s="786"/>
      <c r="AD469" s="786"/>
      <c r="AE469" s="160"/>
      <c r="AF469" s="160"/>
      <c r="AG469" s="786"/>
      <c r="AH469" s="160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3"/>
      <c r="AU469" s="163"/>
      <c r="AV469" s="161"/>
      <c r="AW469" s="161"/>
    </row>
    <row r="470" spans="2:49" s="76" customFormat="1">
      <c r="B470" s="94"/>
      <c r="C470" s="146"/>
      <c r="D470" s="189"/>
      <c r="E470" s="170"/>
      <c r="F470" s="170"/>
      <c r="G470" s="170"/>
      <c r="H470" s="783"/>
      <c r="I470" s="143"/>
      <c r="J470" s="772"/>
      <c r="K470" s="170"/>
      <c r="L470" s="169"/>
      <c r="M470" s="784"/>
      <c r="N470" s="170"/>
      <c r="O470" s="783"/>
      <c r="P470" s="143"/>
      <c r="Q470" s="173"/>
      <c r="R470" s="170"/>
      <c r="S470" s="174"/>
      <c r="T470" s="143"/>
      <c r="U470" s="173"/>
      <c r="V470" s="783"/>
      <c r="W470" s="169"/>
      <c r="X470" s="784"/>
      <c r="Y470" s="784"/>
      <c r="Z470" s="169"/>
      <c r="AA470" s="169"/>
      <c r="AB470" s="169"/>
      <c r="AC470" s="786"/>
      <c r="AD470" s="786"/>
      <c r="AE470" s="160"/>
      <c r="AF470" s="160"/>
      <c r="AG470" s="786"/>
      <c r="AH470" s="160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3"/>
      <c r="AU470" s="163"/>
      <c r="AV470" s="161"/>
      <c r="AW470" s="161"/>
    </row>
    <row r="471" spans="2:49" s="76" customFormat="1" ht="24.95" customHeight="1">
      <c r="B471" s="94"/>
      <c r="C471" s="146"/>
      <c r="D471" s="189"/>
      <c r="E471" s="170"/>
      <c r="F471" s="170"/>
      <c r="G471" s="170"/>
      <c r="H471" s="783"/>
      <c r="I471" s="143"/>
      <c r="J471" s="772"/>
      <c r="K471" s="170"/>
      <c r="L471" s="169"/>
      <c r="M471" s="784"/>
      <c r="N471" s="170"/>
      <c r="O471" s="783"/>
      <c r="P471" s="143"/>
      <c r="Q471" s="173"/>
      <c r="R471" s="170"/>
      <c r="S471" s="174"/>
      <c r="T471" s="143"/>
      <c r="U471" s="173"/>
      <c r="V471" s="783"/>
      <c r="W471" s="169"/>
      <c r="X471" s="784"/>
      <c r="Y471" s="784"/>
      <c r="Z471" s="169"/>
      <c r="AA471" s="169"/>
      <c r="AB471" s="169"/>
      <c r="AC471" s="786"/>
      <c r="AD471" s="786"/>
      <c r="AE471" s="160"/>
      <c r="AF471" s="160"/>
      <c r="AG471" s="786"/>
      <c r="AH471" s="160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3"/>
      <c r="AU471" s="163"/>
      <c r="AV471" s="161"/>
      <c r="AW471" s="161"/>
    </row>
    <row r="472" spans="2:49" s="76" customFormat="1" ht="24.95" customHeight="1">
      <c r="B472" s="94"/>
      <c r="C472" s="146"/>
      <c r="D472" s="189"/>
      <c r="E472" s="170"/>
      <c r="F472" s="170"/>
      <c r="G472" s="170"/>
      <c r="H472" s="783"/>
      <c r="I472" s="143"/>
      <c r="J472" s="772"/>
      <c r="K472" s="170"/>
      <c r="L472" s="169"/>
      <c r="M472" s="784"/>
      <c r="N472" s="170"/>
      <c r="O472" s="783"/>
      <c r="P472" s="143"/>
      <c r="Q472" s="173"/>
      <c r="R472" s="170"/>
      <c r="S472" s="170"/>
      <c r="T472" s="143"/>
      <c r="U472" s="173"/>
      <c r="V472" s="783"/>
      <c r="W472" s="169"/>
      <c r="X472" s="784"/>
      <c r="Y472" s="784"/>
      <c r="Z472" s="169"/>
      <c r="AA472" s="169"/>
      <c r="AB472" s="169"/>
      <c r="AC472" s="786"/>
      <c r="AD472" s="786"/>
      <c r="AE472" s="160"/>
      <c r="AF472" s="160"/>
      <c r="AG472" s="786"/>
      <c r="AH472" s="160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3"/>
      <c r="AU472" s="163"/>
      <c r="AV472" s="161"/>
      <c r="AW472" s="161"/>
    </row>
    <row r="473" spans="2:49" s="76" customFormat="1" ht="24.95" customHeight="1">
      <c r="B473" s="94"/>
      <c r="C473" s="146"/>
      <c r="D473" s="189"/>
      <c r="E473" s="170"/>
      <c r="F473" s="170"/>
      <c r="G473" s="170"/>
      <c r="H473" s="783"/>
      <c r="I473" s="143"/>
      <c r="J473" s="772"/>
      <c r="K473" s="170"/>
      <c r="L473" s="169"/>
      <c r="M473" s="784"/>
      <c r="N473" s="170"/>
      <c r="O473" s="783"/>
      <c r="P473" s="143"/>
      <c r="Q473" s="173"/>
      <c r="R473" s="170"/>
      <c r="S473" s="170"/>
      <c r="T473" s="143"/>
      <c r="U473" s="173"/>
      <c r="V473" s="783"/>
      <c r="W473" s="169"/>
      <c r="X473" s="784"/>
      <c r="Y473" s="784"/>
      <c r="Z473" s="169"/>
      <c r="AA473" s="169"/>
      <c r="AB473" s="169"/>
      <c r="AC473" s="786"/>
      <c r="AD473" s="786"/>
      <c r="AE473" s="160"/>
      <c r="AF473" s="160"/>
      <c r="AG473" s="786"/>
      <c r="AH473" s="160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3"/>
      <c r="AU473" s="163"/>
      <c r="AV473" s="161"/>
      <c r="AW473" s="161"/>
    </row>
    <row r="474" spans="2:49" s="76" customFormat="1" ht="24.95" customHeight="1">
      <c r="B474" s="94"/>
      <c r="C474" s="146"/>
      <c r="D474" s="189"/>
      <c r="E474" s="170"/>
      <c r="F474" s="170"/>
      <c r="G474" s="170"/>
      <c r="H474" s="783"/>
      <c r="I474" s="143"/>
      <c r="J474" s="772"/>
      <c r="K474" s="170"/>
      <c r="L474" s="169"/>
      <c r="M474" s="784"/>
      <c r="N474" s="170"/>
      <c r="O474" s="783"/>
      <c r="P474" s="143"/>
      <c r="Q474" s="173"/>
      <c r="R474" s="170"/>
      <c r="S474" s="170"/>
      <c r="T474" s="143"/>
      <c r="U474" s="173"/>
      <c r="V474" s="783"/>
      <c r="W474" s="169"/>
      <c r="X474" s="784"/>
      <c r="Y474" s="784"/>
      <c r="Z474" s="169"/>
      <c r="AA474" s="169"/>
      <c r="AB474" s="169"/>
      <c r="AC474" s="786"/>
      <c r="AD474" s="786"/>
      <c r="AE474" s="160"/>
      <c r="AF474" s="160"/>
      <c r="AG474" s="786"/>
      <c r="AH474" s="160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3"/>
      <c r="AU474" s="163"/>
      <c r="AV474" s="161"/>
      <c r="AW474" s="161"/>
    </row>
    <row r="475" spans="2:49" s="76" customFormat="1" ht="24.95" customHeight="1">
      <c r="B475" s="94"/>
      <c r="C475" s="146"/>
      <c r="D475" s="189"/>
      <c r="E475" s="170"/>
      <c r="F475" s="170"/>
      <c r="G475" s="170"/>
      <c r="H475" s="783"/>
      <c r="I475" s="143"/>
      <c r="J475" s="772"/>
      <c r="K475" s="170"/>
      <c r="L475" s="169"/>
      <c r="M475" s="784"/>
      <c r="N475" s="170"/>
      <c r="O475" s="783"/>
      <c r="P475" s="143"/>
      <c r="Q475" s="173"/>
      <c r="R475" s="170"/>
      <c r="S475" s="170"/>
      <c r="T475" s="143"/>
      <c r="U475" s="173"/>
      <c r="V475" s="783"/>
      <c r="W475" s="169"/>
      <c r="X475" s="784"/>
      <c r="Y475" s="784"/>
      <c r="Z475" s="169"/>
      <c r="AA475" s="169"/>
      <c r="AB475" s="169"/>
      <c r="AC475" s="786"/>
      <c r="AD475" s="786"/>
      <c r="AE475" s="160"/>
      <c r="AF475" s="160"/>
      <c r="AG475" s="786"/>
      <c r="AH475" s="160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3"/>
      <c r="AU475" s="163"/>
      <c r="AV475" s="161"/>
      <c r="AW475" s="161"/>
    </row>
    <row r="476" spans="2:49" s="76" customFormat="1" ht="24.95" customHeight="1">
      <c r="B476" s="94"/>
      <c r="C476" s="146"/>
      <c r="D476" s="189"/>
      <c r="E476" s="170"/>
      <c r="F476" s="170"/>
      <c r="G476" s="170"/>
      <c r="H476" s="783"/>
      <c r="I476" s="143"/>
      <c r="J476" s="772"/>
      <c r="K476" s="170"/>
      <c r="L476" s="169"/>
      <c r="M476" s="784"/>
      <c r="N476" s="170"/>
      <c r="O476" s="783"/>
      <c r="P476" s="143"/>
      <c r="Q476" s="173"/>
      <c r="R476" s="170"/>
      <c r="S476" s="170"/>
      <c r="T476" s="143"/>
      <c r="U476" s="173"/>
      <c r="V476" s="783"/>
      <c r="W476" s="169"/>
      <c r="X476" s="784"/>
      <c r="Y476" s="784"/>
      <c r="Z476" s="169"/>
      <c r="AA476" s="169"/>
      <c r="AB476" s="169"/>
      <c r="AC476" s="786"/>
      <c r="AD476" s="786"/>
      <c r="AE476" s="160"/>
      <c r="AF476" s="160"/>
      <c r="AG476" s="786"/>
      <c r="AH476" s="160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3"/>
      <c r="AU476" s="163"/>
      <c r="AV476" s="161"/>
      <c r="AW476" s="161"/>
    </row>
    <row r="477" spans="2:49" s="76" customFormat="1" ht="24.95" customHeight="1">
      <c r="B477" s="94"/>
      <c r="C477" s="146"/>
      <c r="D477" s="189"/>
      <c r="E477" s="170"/>
      <c r="F477" s="170"/>
      <c r="G477" s="170"/>
      <c r="H477" s="783"/>
      <c r="I477" s="143"/>
      <c r="J477" s="772"/>
      <c r="K477" s="170"/>
      <c r="L477" s="169"/>
      <c r="M477" s="784"/>
      <c r="N477" s="170"/>
      <c r="O477" s="783"/>
      <c r="P477" s="143"/>
      <c r="Q477" s="173"/>
      <c r="R477" s="170"/>
      <c r="S477" s="170"/>
      <c r="T477" s="143"/>
      <c r="U477" s="173"/>
      <c r="V477" s="783"/>
      <c r="W477" s="169"/>
      <c r="X477" s="784"/>
      <c r="Y477" s="784"/>
      <c r="Z477" s="169"/>
      <c r="AA477" s="169"/>
      <c r="AB477" s="169"/>
      <c r="AC477" s="786"/>
      <c r="AD477" s="786"/>
      <c r="AE477" s="160"/>
      <c r="AF477" s="160"/>
      <c r="AG477" s="786"/>
      <c r="AH477" s="160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3"/>
      <c r="AU477" s="163"/>
      <c r="AV477" s="161"/>
      <c r="AW477" s="161"/>
    </row>
    <row r="478" spans="2:49" s="76" customFormat="1" ht="24.95" customHeight="1">
      <c r="B478" s="94"/>
      <c r="C478" s="146"/>
      <c r="D478" s="189"/>
      <c r="E478" s="170"/>
      <c r="F478" s="170"/>
      <c r="G478" s="170"/>
      <c r="H478" s="783"/>
      <c r="I478" s="143"/>
      <c r="J478" s="772"/>
      <c r="K478" s="170"/>
      <c r="L478" s="169"/>
      <c r="M478" s="784"/>
      <c r="N478" s="170"/>
      <c r="O478" s="783"/>
      <c r="P478" s="143"/>
      <c r="Q478" s="173"/>
      <c r="R478" s="170"/>
      <c r="S478" s="170"/>
      <c r="T478" s="143"/>
      <c r="U478" s="173"/>
      <c r="V478" s="783"/>
      <c r="W478" s="169"/>
      <c r="X478" s="784"/>
      <c r="Y478" s="784"/>
      <c r="Z478" s="169"/>
      <c r="AA478" s="169"/>
      <c r="AB478" s="169"/>
      <c r="AC478" s="786"/>
      <c r="AD478" s="786"/>
      <c r="AE478" s="160"/>
      <c r="AF478" s="160"/>
      <c r="AG478" s="786"/>
      <c r="AH478" s="160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3"/>
      <c r="AU478" s="163"/>
      <c r="AV478" s="161"/>
      <c r="AW478" s="161"/>
    </row>
    <row r="479" spans="2:49" s="76" customFormat="1" ht="24.95" customHeight="1">
      <c r="B479" s="94"/>
      <c r="C479" s="146"/>
      <c r="D479" s="189"/>
      <c r="E479" s="170"/>
      <c r="F479" s="170"/>
      <c r="G479" s="170"/>
      <c r="H479" s="783"/>
      <c r="I479" s="143"/>
      <c r="J479" s="772"/>
      <c r="K479" s="170"/>
      <c r="L479" s="169"/>
      <c r="M479" s="784"/>
      <c r="N479" s="170"/>
      <c r="O479" s="783"/>
      <c r="P479" s="143"/>
      <c r="Q479" s="173"/>
      <c r="R479" s="170"/>
      <c r="S479" s="170"/>
      <c r="T479" s="143"/>
      <c r="U479" s="173"/>
      <c r="V479" s="783"/>
      <c r="W479" s="169"/>
      <c r="X479" s="784"/>
      <c r="Y479" s="784"/>
      <c r="Z479" s="169"/>
      <c r="AA479" s="169"/>
      <c r="AB479" s="169"/>
      <c r="AC479" s="786"/>
      <c r="AD479" s="786"/>
      <c r="AE479" s="160"/>
      <c r="AF479" s="160"/>
      <c r="AG479" s="786"/>
      <c r="AH479" s="160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3"/>
      <c r="AU479" s="163"/>
      <c r="AV479" s="161"/>
      <c r="AW479" s="161"/>
    </row>
    <row r="480" spans="2:49" s="76" customFormat="1" ht="24.95" customHeight="1">
      <c r="B480" s="94"/>
      <c r="C480" s="146"/>
      <c r="D480" s="189"/>
      <c r="E480" s="170"/>
      <c r="F480" s="170"/>
      <c r="G480" s="170"/>
      <c r="H480" s="783"/>
      <c r="I480" s="143"/>
      <c r="J480" s="772"/>
      <c r="K480" s="170"/>
      <c r="L480" s="169"/>
      <c r="M480" s="784"/>
      <c r="N480" s="170"/>
      <c r="O480" s="783"/>
      <c r="P480" s="143"/>
      <c r="Q480" s="173"/>
      <c r="R480" s="170"/>
      <c r="S480" s="170"/>
      <c r="T480" s="143"/>
      <c r="U480" s="173"/>
      <c r="V480" s="783"/>
      <c r="W480" s="169"/>
      <c r="X480" s="784"/>
      <c r="Y480" s="784"/>
      <c r="Z480" s="169"/>
      <c r="AA480" s="169"/>
      <c r="AB480" s="169"/>
      <c r="AC480" s="786"/>
      <c r="AD480" s="786"/>
      <c r="AE480" s="160"/>
      <c r="AF480" s="160"/>
      <c r="AG480" s="786"/>
      <c r="AH480" s="160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3"/>
      <c r="AU480" s="163"/>
      <c r="AV480" s="161"/>
      <c r="AW480" s="161"/>
    </row>
    <row r="481" spans="2:49" s="76" customFormat="1" ht="24.95" customHeight="1">
      <c r="B481" s="94"/>
      <c r="C481" s="146"/>
      <c r="D481" s="189"/>
      <c r="E481" s="170"/>
      <c r="F481" s="170"/>
      <c r="G481" s="170"/>
      <c r="H481" s="783"/>
      <c r="I481" s="143"/>
      <c r="J481" s="772"/>
      <c r="K481" s="170"/>
      <c r="L481" s="169"/>
      <c r="M481" s="784"/>
      <c r="N481" s="170"/>
      <c r="O481" s="783"/>
      <c r="P481" s="143"/>
      <c r="Q481" s="173"/>
      <c r="R481" s="170"/>
      <c r="S481" s="170"/>
      <c r="T481" s="143"/>
      <c r="U481" s="173"/>
      <c r="V481" s="783"/>
      <c r="W481" s="169"/>
      <c r="X481" s="784"/>
      <c r="Y481" s="784"/>
      <c r="Z481" s="169"/>
      <c r="AA481" s="169"/>
      <c r="AB481" s="169"/>
      <c r="AC481" s="786"/>
      <c r="AD481" s="786"/>
      <c r="AE481" s="160"/>
      <c r="AF481" s="160"/>
      <c r="AG481" s="786"/>
      <c r="AH481" s="160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3"/>
      <c r="AU481" s="163"/>
      <c r="AV481" s="161"/>
      <c r="AW481" s="161"/>
    </row>
    <row r="482" spans="2:49" s="76" customFormat="1" ht="24.95" customHeight="1">
      <c r="B482" s="94"/>
      <c r="C482" s="146"/>
      <c r="D482" s="189"/>
      <c r="E482" s="170"/>
      <c r="F482" s="170"/>
      <c r="G482" s="170"/>
      <c r="H482" s="783"/>
      <c r="I482" s="143"/>
      <c r="J482" s="772"/>
      <c r="K482" s="170"/>
      <c r="L482" s="169"/>
      <c r="M482" s="784"/>
      <c r="N482" s="170"/>
      <c r="O482" s="783"/>
      <c r="P482" s="143"/>
      <c r="Q482" s="173"/>
      <c r="R482" s="170"/>
      <c r="S482" s="170"/>
      <c r="T482" s="143"/>
      <c r="U482" s="173"/>
      <c r="V482" s="783"/>
      <c r="W482" s="169"/>
      <c r="X482" s="784"/>
      <c r="Y482" s="784"/>
      <c r="Z482" s="169"/>
      <c r="AA482" s="169"/>
      <c r="AB482" s="169"/>
      <c r="AC482" s="786"/>
      <c r="AD482" s="786"/>
      <c r="AE482" s="160"/>
      <c r="AF482" s="160"/>
      <c r="AG482" s="786"/>
      <c r="AH482" s="160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3"/>
      <c r="AU482" s="163"/>
      <c r="AV482" s="161"/>
      <c r="AW482" s="161"/>
    </row>
    <row r="483" spans="2:49" s="76" customFormat="1" ht="24.95" customHeight="1">
      <c r="B483" s="94"/>
      <c r="C483" s="146"/>
      <c r="D483" s="189"/>
      <c r="E483" s="170"/>
      <c r="F483" s="170"/>
      <c r="G483" s="170"/>
      <c r="H483" s="783"/>
      <c r="I483" s="143"/>
      <c r="J483" s="772"/>
      <c r="K483" s="170"/>
      <c r="L483" s="169"/>
      <c r="M483" s="784"/>
      <c r="N483" s="170"/>
      <c r="O483" s="783"/>
      <c r="P483" s="143"/>
      <c r="Q483" s="173"/>
      <c r="R483" s="170"/>
      <c r="S483" s="170"/>
      <c r="T483" s="143"/>
      <c r="U483" s="173"/>
      <c r="V483" s="783"/>
      <c r="W483" s="169"/>
      <c r="X483" s="784"/>
      <c r="Y483" s="784"/>
      <c r="Z483" s="169"/>
      <c r="AA483" s="169"/>
      <c r="AB483" s="169"/>
      <c r="AC483" s="786"/>
      <c r="AD483" s="786"/>
      <c r="AE483" s="160"/>
      <c r="AF483" s="160"/>
      <c r="AG483" s="786"/>
      <c r="AH483" s="160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3"/>
      <c r="AU483" s="163"/>
      <c r="AV483" s="161"/>
      <c r="AW483" s="161"/>
    </row>
    <row r="484" spans="2:49" s="76" customFormat="1" ht="24.95" customHeight="1">
      <c r="B484" s="94"/>
      <c r="C484" s="146"/>
      <c r="D484" s="189"/>
      <c r="E484" s="170"/>
      <c r="F484" s="170"/>
      <c r="G484" s="170"/>
      <c r="H484" s="783"/>
      <c r="I484" s="143"/>
      <c r="J484" s="772"/>
      <c r="K484" s="170"/>
      <c r="L484" s="169"/>
      <c r="M484" s="784"/>
      <c r="N484" s="170"/>
      <c r="O484" s="783"/>
      <c r="P484" s="143"/>
      <c r="Q484" s="173"/>
      <c r="R484" s="170"/>
      <c r="S484" s="170"/>
      <c r="T484" s="143"/>
      <c r="U484" s="173"/>
      <c r="V484" s="783"/>
      <c r="W484" s="169"/>
      <c r="X484" s="784"/>
      <c r="Y484" s="784"/>
      <c r="Z484" s="169"/>
      <c r="AA484" s="169"/>
      <c r="AB484" s="169"/>
      <c r="AC484" s="786"/>
      <c r="AD484" s="786"/>
      <c r="AE484" s="160"/>
      <c r="AF484" s="160"/>
      <c r="AG484" s="786"/>
      <c r="AH484" s="160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3"/>
      <c r="AU484" s="163"/>
      <c r="AV484" s="161"/>
      <c r="AW484" s="161"/>
    </row>
    <row r="485" spans="2:49" s="76" customFormat="1">
      <c r="B485" s="94"/>
      <c r="C485" s="146"/>
      <c r="D485" s="189"/>
      <c r="E485" s="170"/>
      <c r="F485" s="170"/>
      <c r="G485" s="170"/>
      <c r="H485" s="783"/>
      <c r="I485" s="143"/>
      <c r="J485" s="772"/>
      <c r="K485" s="170"/>
      <c r="L485" s="169"/>
      <c r="M485" s="784"/>
      <c r="N485" s="170"/>
      <c r="O485" s="783"/>
      <c r="P485" s="143"/>
      <c r="Q485" s="173"/>
      <c r="R485" s="170"/>
      <c r="T485" s="143"/>
      <c r="U485" s="173"/>
      <c r="V485" s="783"/>
      <c r="W485" s="169"/>
      <c r="X485" s="784"/>
      <c r="Y485" s="784"/>
      <c r="Z485" s="169"/>
      <c r="AA485" s="169"/>
      <c r="AB485" s="169"/>
      <c r="AC485" s="786"/>
      <c r="AD485" s="786"/>
      <c r="AE485" s="160"/>
      <c r="AF485" s="160"/>
      <c r="AG485" s="786"/>
      <c r="AH485" s="160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3"/>
      <c r="AU485" s="163"/>
      <c r="AV485" s="161"/>
      <c r="AW485" s="161"/>
    </row>
    <row r="486" spans="2:49" s="76" customFormat="1" ht="24.95" customHeight="1">
      <c r="B486" s="94"/>
      <c r="C486" s="146"/>
      <c r="D486" s="189"/>
      <c r="E486" s="170"/>
      <c r="F486" s="170"/>
      <c r="G486" s="170"/>
      <c r="H486" s="783"/>
      <c r="I486" s="143"/>
      <c r="J486" s="772"/>
      <c r="K486" s="170"/>
      <c r="L486" s="169"/>
      <c r="M486" s="784"/>
      <c r="N486" s="170"/>
      <c r="O486" s="783"/>
      <c r="P486" s="143"/>
      <c r="Q486" s="173"/>
      <c r="R486" s="170"/>
      <c r="S486" s="170"/>
      <c r="T486" s="143"/>
      <c r="U486" s="173"/>
      <c r="V486" s="783"/>
      <c r="W486" s="169"/>
      <c r="X486" s="784"/>
      <c r="Y486" s="784"/>
      <c r="Z486" s="169"/>
      <c r="AA486" s="169"/>
      <c r="AB486" s="169"/>
      <c r="AC486" s="786"/>
      <c r="AD486" s="786"/>
      <c r="AE486" s="160"/>
      <c r="AF486" s="160"/>
      <c r="AG486" s="786"/>
      <c r="AH486" s="160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3"/>
      <c r="AU486" s="163"/>
      <c r="AV486" s="161"/>
      <c r="AW486" s="161"/>
    </row>
    <row r="487" spans="2:49" s="78" customFormat="1" ht="24.95" customHeight="1">
      <c r="B487" s="94"/>
      <c r="C487" s="146"/>
      <c r="D487" s="189"/>
      <c r="E487" s="170"/>
      <c r="F487" s="170"/>
      <c r="G487" s="170"/>
      <c r="H487" s="783"/>
      <c r="I487" s="143"/>
      <c r="J487" s="772"/>
      <c r="K487" s="170"/>
      <c r="L487" s="169"/>
      <c r="M487" s="784"/>
      <c r="N487" s="170"/>
      <c r="O487" s="783"/>
      <c r="P487" s="143"/>
      <c r="Q487" s="173"/>
      <c r="R487" s="170"/>
      <c r="S487" s="170"/>
      <c r="T487" s="143"/>
      <c r="U487" s="173"/>
      <c r="V487" s="783"/>
      <c r="W487" s="169"/>
      <c r="X487" s="784"/>
      <c r="Y487" s="784"/>
      <c r="Z487" s="169"/>
      <c r="AA487" s="169"/>
      <c r="AB487" s="169"/>
      <c r="AC487" s="786"/>
      <c r="AD487" s="786"/>
      <c r="AE487" s="160"/>
      <c r="AF487" s="160"/>
      <c r="AG487" s="786"/>
      <c r="AH487" s="160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3"/>
      <c r="AU487" s="163"/>
      <c r="AV487" s="161"/>
      <c r="AW487" s="161"/>
    </row>
    <row r="488" spans="2:49" s="66" customFormat="1" ht="38.25">
      <c r="B488" s="63"/>
      <c r="C488" s="147"/>
      <c r="D488" s="186"/>
      <c r="E488" s="167"/>
      <c r="F488" s="167"/>
      <c r="G488" s="167"/>
      <c r="H488" s="715"/>
      <c r="I488" s="167"/>
      <c r="J488" s="715"/>
      <c r="K488" s="167"/>
      <c r="L488" s="167"/>
      <c r="M488" s="715"/>
      <c r="N488" s="167"/>
      <c r="O488" s="715"/>
      <c r="P488" s="167"/>
      <c r="Q488" s="167"/>
      <c r="R488" s="167"/>
      <c r="S488" s="167"/>
      <c r="T488" s="167"/>
      <c r="U488" s="167"/>
      <c r="V488" s="715"/>
      <c r="W488" s="167"/>
      <c r="X488" s="715"/>
      <c r="Y488" s="715"/>
      <c r="Z488" s="167"/>
      <c r="AA488" s="167"/>
      <c r="AB488" s="167"/>
      <c r="AC488" s="789"/>
      <c r="AD488" s="789"/>
      <c r="AE488" s="149"/>
      <c r="AF488" s="149"/>
      <c r="AG488" s="789"/>
      <c r="AH488" s="149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</row>
    <row r="489" spans="2:49" s="66" customFormat="1" ht="38.25">
      <c r="B489" s="63"/>
      <c r="C489" s="147"/>
      <c r="D489" s="186"/>
      <c r="E489" s="167"/>
      <c r="F489" s="167"/>
      <c r="G489" s="167"/>
      <c r="H489" s="715"/>
      <c r="I489" s="167"/>
      <c r="J489" s="715"/>
      <c r="K489" s="167"/>
      <c r="L489" s="167"/>
      <c r="M489" s="715"/>
      <c r="N489" s="167"/>
      <c r="O489" s="715"/>
      <c r="P489" s="167"/>
      <c r="Q489" s="167"/>
      <c r="R489" s="167"/>
      <c r="T489" s="167"/>
      <c r="U489" s="167"/>
      <c r="V489" s="715"/>
      <c r="W489" s="167"/>
      <c r="X489" s="715"/>
      <c r="Y489" s="715"/>
      <c r="Z489" s="167"/>
      <c r="AA489" s="167"/>
      <c r="AB489" s="167"/>
      <c r="AC489" s="789"/>
      <c r="AD489" s="789"/>
      <c r="AE489" s="149"/>
      <c r="AF489" s="149"/>
      <c r="AG489" s="789"/>
      <c r="AH489" s="149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</row>
    <row r="490" spans="2:49" s="66" customFormat="1" ht="38.25">
      <c r="B490" s="63"/>
      <c r="C490" s="147"/>
      <c r="D490" s="186"/>
      <c r="E490" s="167"/>
      <c r="F490" s="167"/>
      <c r="G490" s="167"/>
      <c r="H490" s="715"/>
      <c r="I490" s="167"/>
      <c r="J490" s="715"/>
      <c r="K490" s="167"/>
      <c r="L490" s="167"/>
      <c r="M490" s="715"/>
      <c r="N490" s="167"/>
      <c r="O490" s="715"/>
      <c r="P490" s="167"/>
      <c r="Q490" s="167"/>
      <c r="R490" s="167"/>
      <c r="S490" s="167"/>
      <c r="T490" s="167"/>
      <c r="U490" s="167"/>
      <c r="V490" s="715"/>
      <c r="W490" s="167"/>
      <c r="X490" s="715"/>
      <c r="Y490" s="715"/>
      <c r="Z490" s="167"/>
      <c r="AA490" s="167"/>
      <c r="AB490" s="167"/>
      <c r="AC490" s="789"/>
      <c r="AD490" s="789"/>
      <c r="AE490" s="149"/>
      <c r="AF490" s="149"/>
      <c r="AG490" s="789"/>
      <c r="AH490" s="149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</row>
    <row r="491" spans="2:49" s="64" customFormat="1">
      <c r="B491" s="63"/>
      <c r="C491" s="147"/>
      <c r="D491" s="186"/>
      <c r="E491" s="167"/>
      <c r="F491" s="167"/>
      <c r="G491" s="167"/>
      <c r="H491" s="715"/>
      <c r="I491" s="167"/>
      <c r="J491" s="715"/>
      <c r="K491" s="167"/>
      <c r="L491" s="167"/>
      <c r="M491" s="715"/>
      <c r="N491" s="167"/>
      <c r="O491" s="715"/>
      <c r="P491" s="167"/>
      <c r="Q491" s="167"/>
      <c r="R491" s="167"/>
      <c r="S491" s="167"/>
      <c r="T491" s="167"/>
      <c r="U491" s="167"/>
      <c r="V491" s="715"/>
      <c r="W491" s="167"/>
      <c r="X491" s="715"/>
      <c r="Y491" s="715"/>
      <c r="Z491" s="167"/>
      <c r="AA491" s="167"/>
      <c r="AB491" s="167"/>
      <c r="AC491" s="789"/>
      <c r="AD491" s="789"/>
      <c r="AE491" s="149"/>
      <c r="AF491" s="149"/>
      <c r="AG491" s="789"/>
      <c r="AH491" s="149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</row>
    <row r="492" spans="2:49" s="64" customFormat="1">
      <c r="B492" s="63"/>
      <c r="C492" s="147"/>
      <c r="D492" s="186"/>
      <c r="E492" s="167"/>
      <c r="F492" s="167"/>
      <c r="G492" s="167"/>
      <c r="H492" s="715"/>
      <c r="I492" s="167"/>
      <c r="J492" s="715"/>
      <c r="K492" s="167"/>
      <c r="L492" s="167"/>
      <c r="M492" s="715"/>
      <c r="N492" s="167"/>
      <c r="O492" s="715"/>
      <c r="P492" s="167"/>
      <c r="Q492" s="167"/>
      <c r="R492" s="167"/>
      <c r="S492" s="167"/>
      <c r="T492" s="167"/>
      <c r="U492" s="167"/>
      <c r="V492" s="715"/>
      <c r="W492" s="167"/>
      <c r="X492" s="715"/>
      <c r="Y492" s="715"/>
      <c r="Z492" s="167"/>
      <c r="AA492" s="167"/>
      <c r="AB492" s="167"/>
      <c r="AC492" s="789"/>
      <c r="AD492" s="789"/>
      <c r="AE492" s="149"/>
      <c r="AF492" s="149"/>
      <c r="AG492" s="789"/>
      <c r="AH492" s="149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</row>
    <row r="493" spans="2:49" s="64" customFormat="1">
      <c r="B493" s="63"/>
      <c r="C493" s="147"/>
      <c r="D493" s="186"/>
      <c r="E493" s="167"/>
      <c r="F493" s="167"/>
      <c r="G493" s="167"/>
      <c r="H493" s="715"/>
      <c r="I493" s="167"/>
      <c r="J493" s="715"/>
      <c r="K493" s="167"/>
      <c r="L493" s="167"/>
      <c r="M493" s="715"/>
      <c r="N493" s="167"/>
      <c r="O493" s="715"/>
      <c r="P493" s="167"/>
      <c r="Q493" s="167"/>
      <c r="R493" s="167"/>
      <c r="S493" s="167"/>
      <c r="T493" s="167"/>
      <c r="U493" s="167"/>
      <c r="V493" s="715"/>
      <c r="W493" s="167"/>
      <c r="X493" s="715"/>
      <c r="Y493" s="715"/>
      <c r="Z493" s="167"/>
      <c r="AA493" s="167"/>
      <c r="AB493" s="167"/>
      <c r="AC493" s="789"/>
      <c r="AD493" s="789"/>
      <c r="AE493" s="149"/>
      <c r="AF493" s="149"/>
      <c r="AG493" s="789"/>
      <c r="AH493" s="149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</row>
    <row r="494" spans="2:49" s="64" customFormat="1">
      <c r="B494" s="63"/>
      <c r="C494" s="147"/>
      <c r="D494" s="186"/>
      <c r="E494" s="167"/>
      <c r="F494" s="167"/>
      <c r="G494" s="167"/>
      <c r="H494" s="715"/>
      <c r="I494" s="167"/>
      <c r="J494" s="715"/>
      <c r="K494" s="167"/>
      <c r="L494" s="167"/>
      <c r="M494" s="715"/>
      <c r="N494" s="167"/>
      <c r="O494" s="715"/>
      <c r="P494" s="167"/>
      <c r="Q494" s="167"/>
      <c r="R494" s="167"/>
      <c r="S494" s="167"/>
      <c r="T494" s="167"/>
      <c r="U494" s="167"/>
      <c r="V494" s="715"/>
      <c r="W494" s="167"/>
      <c r="X494" s="715"/>
      <c r="Y494" s="715"/>
      <c r="Z494" s="167"/>
      <c r="AA494" s="167"/>
      <c r="AB494" s="167"/>
      <c r="AC494" s="789"/>
      <c r="AD494" s="789"/>
      <c r="AE494" s="149"/>
      <c r="AF494" s="149"/>
      <c r="AG494" s="789"/>
      <c r="AH494" s="149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</row>
    <row r="495" spans="2:49" s="64" customFormat="1">
      <c r="B495" s="63"/>
      <c r="C495" s="147"/>
      <c r="D495" s="186"/>
      <c r="E495" s="167"/>
      <c r="F495" s="167"/>
      <c r="G495" s="167"/>
      <c r="H495" s="715"/>
      <c r="I495" s="167"/>
      <c r="J495" s="715"/>
      <c r="K495" s="167"/>
      <c r="L495" s="167"/>
      <c r="M495" s="715"/>
      <c r="N495" s="167"/>
      <c r="O495" s="715"/>
      <c r="P495" s="167"/>
      <c r="Q495" s="167"/>
      <c r="R495" s="167"/>
      <c r="S495" s="167"/>
      <c r="T495" s="167"/>
      <c r="U495" s="167"/>
      <c r="V495" s="715"/>
      <c r="W495" s="167"/>
      <c r="X495" s="715"/>
      <c r="Y495" s="715"/>
      <c r="Z495" s="167"/>
      <c r="AA495" s="167"/>
      <c r="AB495" s="167"/>
      <c r="AC495" s="789"/>
      <c r="AD495" s="789"/>
      <c r="AE495" s="149"/>
      <c r="AF495" s="149"/>
      <c r="AG495" s="789"/>
      <c r="AH495" s="149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</row>
    <row r="496" spans="2:49" s="64" customFormat="1">
      <c r="B496" s="63"/>
      <c r="C496" s="147"/>
      <c r="D496" s="186"/>
      <c r="E496" s="167"/>
      <c r="F496" s="167"/>
      <c r="G496" s="167"/>
      <c r="H496" s="715"/>
      <c r="I496" s="167"/>
      <c r="J496" s="715"/>
      <c r="K496" s="167"/>
      <c r="L496" s="167"/>
      <c r="M496" s="715"/>
      <c r="N496" s="167"/>
      <c r="O496" s="715"/>
      <c r="P496" s="167"/>
      <c r="Q496" s="167"/>
      <c r="R496" s="167"/>
      <c r="S496" s="167"/>
      <c r="T496" s="167"/>
      <c r="U496" s="167"/>
      <c r="V496" s="715"/>
      <c r="W496" s="167"/>
      <c r="X496" s="715"/>
      <c r="Y496" s="715"/>
      <c r="Z496" s="167"/>
      <c r="AA496" s="167"/>
      <c r="AB496" s="167"/>
      <c r="AC496" s="789"/>
      <c r="AD496" s="789"/>
      <c r="AE496" s="149"/>
      <c r="AF496" s="149"/>
      <c r="AG496" s="789"/>
      <c r="AH496" s="149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</row>
    <row r="497" spans="2:49" s="64" customFormat="1">
      <c r="B497" s="63"/>
      <c r="C497" s="147"/>
      <c r="D497" s="186"/>
      <c r="E497" s="167"/>
      <c r="F497" s="167"/>
      <c r="G497" s="167"/>
      <c r="H497" s="715"/>
      <c r="I497" s="167"/>
      <c r="J497" s="715"/>
      <c r="K497" s="167"/>
      <c r="L497" s="167"/>
      <c r="M497" s="715"/>
      <c r="N497" s="167"/>
      <c r="O497" s="715"/>
      <c r="P497" s="167"/>
      <c r="Q497" s="167"/>
      <c r="R497" s="167"/>
      <c r="S497" s="167"/>
      <c r="T497" s="167"/>
      <c r="U497" s="167"/>
      <c r="V497" s="715"/>
      <c r="W497" s="167"/>
      <c r="X497" s="715"/>
      <c r="Y497" s="715"/>
      <c r="Z497" s="167"/>
      <c r="AA497" s="167"/>
      <c r="AB497" s="167"/>
      <c r="AC497" s="789"/>
      <c r="AD497" s="789"/>
      <c r="AE497" s="149"/>
      <c r="AF497" s="149"/>
      <c r="AG497" s="789"/>
      <c r="AH497" s="149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</row>
    <row r="498" spans="2:49" s="64" customFormat="1">
      <c r="B498" s="63"/>
      <c r="C498" s="147"/>
      <c r="D498" s="186"/>
      <c r="E498" s="167"/>
      <c r="F498" s="167"/>
      <c r="G498" s="167"/>
      <c r="H498" s="715"/>
      <c r="I498" s="167"/>
      <c r="J498" s="715"/>
      <c r="K498" s="167"/>
      <c r="L498" s="167"/>
      <c r="M498" s="715"/>
      <c r="N498" s="167"/>
      <c r="O498" s="715"/>
      <c r="P498" s="167"/>
      <c r="Q498" s="167"/>
      <c r="R498" s="167"/>
      <c r="S498" s="167"/>
      <c r="T498" s="167"/>
      <c r="U498" s="167"/>
      <c r="V498" s="715"/>
      <c r="W498" s="167"/>
      <c r="X498" s="715"/>
      <c r="Y498" s="715"/>
      <c r="Z498" s="167"/>
      <c r="AA498" s="167"/>
      <c r="AB498" s="167"/>
      <c r="AC498" s="789"/>
      <c r="AD498" s="789"/>
      <c r="AE498" s="149"/>
      <c r="AF498" s="149"/>
      <c r="AG498" s="789"/>
      <c r="AH498" s="149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</row>
    <row r="499" spans="2:49" s="64" customFormat="1">
      <c r="B499" s="63"/>
      <c r="C499" s="147"/>
      <c r="D499" s="186"/>
      <c r="E499" s="167"/>
      <c r="F499" s="167"/>
      <c r="G499" s="167"/>
      <c r="H499" s="715"/>
      <c r="I499" s="167"/>
      <c r="J499" s="715"/>
      <c r="K499" s="167"/>
      <c r="L499" s="167"/>
      <c r="M499" s="715"/>
      <c r="N499" s="167"/>
      <c r="O499" s="715"/>
      <c r="P499" s="167"/>
      <c r="Q499" s="167"/>
      <c r="R499" s="167"/>
      <c r="S499" s="167"/>
      <c r="T499" s="167"/>
      <c r="U499" s="167"/>
      <c r="V499" s="715"/>
      <c r="W499" s="167"/>
      <c r="X499" s="715"/>
      <c r="Y499" s="715"/>
      <c r="Z499" s="167"/>
      <c r="AA499" s="167"/>
      <c r="AB499" s="167"/>
      <c r="AC499" s="789"/>
      <c r="AD499" s="789"/>
      <c r="AE499" s="149"/>
      <c r="AF499" s="149"/>
      <c r="AG499" s="789"/>
      <c r="AH499" s="149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</row>
    <row r="500" spans="2:49" s="64" customFormat="1">
      <c r="B500" s="63"/>
      <c r="C500" s="147"/>
      <c r="D500" s="186"/>
      <c r="E500" s="167"/>
      <c r="F500" s="167"/>
      <c r="G500" s="167"/>
      <c r="H500" s="715"/>
      <c r="I500" s="167"/>
      <c r="J500" s="715"/>
      <c r="K500" s="167"/>
      <c r="L500" s="167"/>
      <c r="M500" s="715"/>
      <c r="N500" s="167"/>
      <c r="O500" s="715"/>
      <c r="P500" s="167"/>
      <c r="Q500" s="167"/>
      <c r="R500" s="167"/>
      <c r="S500" s="167"/>
      <c r="T500" s="167"/>
      <c r="U500" s="167"/>
      <c r="V500" s="715"/>
      <c r="W500" s="167"/>
      <c r="X500" s="715"/>
      <c r="Y500" s="715"/>
      <c r="Z500" s="167"/>
      <c r="AA500" s="167"/>
      <c r="AB500" s="167"/>
      <c r="AC500" s="789"/>
      <c r="AD500" s="789"/>
      <c r="AE500" s="149"/>
      <c r="AF500" s="149"/>
      <c r="AG500" s="789"/>
      <c r="AH500" s="149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</row>
    <row r="501" spans="2:49" s="64" customFormat="1">
      <c r="B501" s="63"/>
      <c r="C501" s="147"/>
      <c r="D501" s="186"/>
      <c r="E501" s="167"/>
      <c r="F501" s="167"/>
      <c r="G501" s="167"/>
      <c r="H501" s="715"/>
      <c r="I501" s="167"/>
      <c r="J501" s="715"/>
      <c r="K501" s="167"/>
      <c r="L501" s="167"/>
      <c r="M501" s="715"/>
      <c r="N501" s="167"/>
      <c r="O501" s="715"/>
      <c r="P501" s="167"/>
      <c r="Q501" s="167"/>
      <c r="R501" s="167"/>
      <c r="S501" s="174"/>
      <c r="T501" s="167"/>
      <c r="U501" s="167"/>
      <c r="V501" s="715"/>
      <c r="W501" s="167"/>
      <c r="X501" s="715"/>
      <c r="Y501" s="715"/>
      <c r="Z501" s="167"/>
      <c r="AA501" s="167"/>
      <c r="AB501" s="167"/>
      <c r="AC501" s="789"/>
      <c r="AD501" s="789"/>
      <c r="AE501" s="149"/>
      <c r="AF501" s="149"/>
      <c r="AG501" s="789"/>
      <c r="AH501" s="149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</row>
    <row r="502" spans="2:49" s="64" customFormat="1">
      <c r="B502" s="63"/>
      <c r="C502" s="147"/>
      <c r="D502" s="186"/>
      <c r="E502" s="167"/>
      <c r="F502" s="167"/>
      <c r="G502" s="167"/>
      <c r="H502" s="715"/>
      <c r="I502" s="167"/>
      <c r="J502" s="715"/>
      <c r="K502" s="167"/>
      <c r="L502" s="167"/>
      <c r="M502" s="715"/>
      <c r="N502" s="167"/>
      <c r="O502" s="715"/>
      <c r="P502" s="167"/>
      <c r="Q502" s="167"/>
      <c r="R502" s="167"/>
      <c r="S502" s="167"/>
      <c r="T502" s="167"/>
      <c r="U502" s="167"/>
      <c r="V502" s="715"/>
      <c r="W502" s="167"/>
      <c r="X502" s="715"/>
      <c r="Y502" s="715"/>
      <c r="Z502" s="167"/>
      <c r="AA502" s="167"/>
      <c r="AB502" s="167"/>
      <c r="AC502" s="789"/>
      <c r="AD502" s="789"/>
      <c r="AE502" s="149"/>
      <c r="AF502" s="149"/>
      <c r="AG502" s="789"/>
      <c r="AH502" s="149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</row>
    <row r="503" spans="2:49" s="64" customFormat="1">
      <c r="B503" s="63"/>
      <c r="C503" s="147"/>
      <c r="D503" s="186"/>
      <c r="E503" s="167"/>
      <c r="F503" s="167"/>
      <c r="G503" s="167"/>
      <c r="H503" s="715"/>
      <c r="I503" s="167"/>
      <c r="J503" s="715"/>
      <c r="K503" s="167"/>
      <c r="L503" s="167"/>
      <c r="M503" s="715"/>
      <c r="N503" s="167"/>
      <c r="O503" s="715"/>
      <c r="P503" s="167"/>
      <c r="Q503" s="167"/>
      <c r="R503" s="167"/>
      <c r="S503" s="167"/>
      <c r="T503" s="167"/>
      <c r="U503" s="167"/>
      <c r="V503" s="715"/>
      <c r="W503" s="167"/>
      <c r="X503" s="715"/>
      <c r="Y503" s="715"/>
      <c r="Z503" s="167"/>
      <c r="AA503" s="167"/>
      <c r="AB503" s="167"/>
      <c r="AC503" s="789"/>
      <c r="AD503" s="789"/>
      <c r="AE503" s="149"/>
      <c r="AF503" s="149"/>
      <c r="AG503" s="789"/>
      <c r="AH503" s="149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</row>
    <row r="504" spans="2:49" s="64" customFormat="1">
      <c r="B504" s="63"/>
      <c r="C504" s="147"/>
      <c r="D504" s="186"/>
      <c r="E504" s="167"/>
      <c r="F504" s="167"/>
      <c r="G504" s="167"/>
      <c r="H504" s="715"/>
      <c r="I504" s="167"/>
      <c r="J504" s="715"/>
      <c r="K504" s="167"/>
      <c r="L504" s="167"/>
      <c r="M504" s="715"/>
      <c r="N504" s="167"/>
      <c r="O504" s="715"/>
      <c r="P504" s="167"/>
      <c r="Q504" s="167"/>
      <c r="R504" s="167"/>
      <c r="S504" s="167"/>
      <c r="T504" s="167"/>
      <c r="U504" s="167"/>
      <c r="V504" s="715"/>
      <c r="W504" s="167"/>
      <c r="X504" s="715"/>
      <c r="Y504" s="715"/>
      <c r="Z504" s="167"/>
      <c r="AA504" s="167"/>
      <c r="AB504" s="167"/>
      <c r="AC504" s="789"/>
      <c r="AD504" s="789"/>
      <c r="AE504" s="149"/>
      <c r="AF504" s="149"/>
      <c r="AG504" s="789"/>
      <c r="AH504" s="149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</row>
    <row r="505" spans="2:49" s="64" customFormat="1">
      <c r="B505" s="63"/>
      <c r="C505" s="147"/>
      <c r="D505" s="186"/>
      <c r="E505" s="167"/>
      <c r="F505" s="167"/>
      <c r="G505" s="167"/>
      <c r="H505" s="715"/>
      <c r="I505" s="167"/>
      <c r="J505" s="715"/>
      <c r="K505" s="167"/>
      <c r="L505" s="167"/>
      <c r="M505" s="715"/>
      <c r="N505" s="167"/>
      <c r="O505" s="715"/>
      <c r="P505" s="167"/>
      <c r="Q505" s="167"/>
      <c r="R505" s="167"/>
      <c r="S505" s="167"/>
      <c r="T505" s="167"/>
      <c r="U505" s="167"/>
      <c r="V505" s="715"/>
      <c r="W505" s="167"/>
      <c r="X505" s="715"/>
      <c r="Y505" s="715"/>
      <c r="Z505" s="167"/>
      <c r="AA505" s="167"/>
      <c r="AB505" s="167"/>
      <c r="AC505" s="789"/>
      <c r="AD505" s="789"/>
      <c r="AE505" s="149"/>
      <c r="AF505" s="149"/>
      <c r="AG505" s="789"/>
      <c r="AH505" s="149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</row>
    <row r="506" spans="2:49" s="64" customFormat="1">
      <c r="B506" s="63"/>
      <c r="C506" s="147"/>
      <c r="D506" s="186"/>
      <c r="E506" s="167"/>
      <c r="F506" s="167"/>
      <c r="G506" s="167"/>
      <c r="H506" s="715"/>
      <c r="I506" s="167"/>
      <c r="J506" s="715"/>
      <c r="K506" s="167"/>
      <c r="L506" s="167"/>
      <c r="M506" s="715"/>
      <c r="N506" s="167"/>
      <c r="O506" s="715"/>
      <c r="P506" s="167"/>
      <c r="Q506" s="167"/>
      <c r="R506" s="167"/>
      <c r="S506" s="167"/>
      <c r="T506" s="167"/>
      <c r="U506" s="167"/>
      <c r="V506" s="715"/>
      <c r="W506" s="167"/>
      <c r="X506" s="715"/>
      <c r="Y506" s="715"/>
      <c r="Z506" s="167"/>
      <c r="AA506" s="167"/>
      <c r="AB506" s="167"/>
      <c r="AC506" s="789"/>
      <c r="AD506" s="789"/>
      <c r="AE506" s="149"/>
      <c r="AF506" s="149"/>
      <c r="AG506" s="789"/>
      <c r="AH506" s="149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</row>
    <row r="507" spans="2:49" s="64" customFormat="1">
      <c r="B507" s="63"/>
      <c r="C507" s="147"/>
      <c r="D507" s="186"/>
      <c r="E507" s="167"/>
      <c r="F507" s="167"/>
      <c r="G507" s="167"/>
      <c r="H507" s="715"/>
      <c r="I507" s="167"/>
      <c r="J507" s="715"/>
      <c r="K507" s="167"/>
      <c r="L507" s="167"/>
      <c r="M507" s="715"/>
      <c r="N507" s="167"/>
      <c r="O507" s="715"/>
      <c r="P507" s="167"/>
      <c r="Q507" s="167"/>
      <c r="R507" s="167"/>
      <c r="S507" s="167"/>
      <c r="T507" s="167"/>
      <c r="U507" s="167"/>
      <c r="V507" s="715"/>
      <c r="W507" s="167"/>
      <c r="X507" s="715"/>
      <c r="Y507" s="715"/>
      <c r="Z507" s="167"/>
      <c r="AA507" s="167"/>
      <c r="AB507" s="167"/>
      <c r="AC507" s="789"/>
      <c r="AD507" s="789"/>
      <c r="AE507" s="149"/>
      <c r="AF507" s="149"/>
      <c r="AG507" s="789"/>
      <c r="AH507" s="149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</row>
    <row r="508" spans="2:49" s="64" customFormat="1">
      <c r="B508" s="63"/>
      <c r="C508" s="147"/>
      <c r="D508" s="186"/>
      <c r="E508" s="167"/>
      <c r="F508" s="167"/>
      <c r="G508" s="167"/>
      <c r="H508" s="715"/>
      <c r="I508" s="167"/>
      <c r="J508" s="715"/>
      <c r="K508" s="167"/>
      <c r="L508" s="167"/>
      <c r="M508" s="715"/>
      <c r="N508" s="167"/>
      <c r="O508" s="715"/>
      <c r="P508" s="167"/>
      <c r="Q508" s="167"/>
      <c r="R508" s="167"/>
      <c r="S508" s="167"/>
      <c r="T508" s="167"/>
      <c r="U508" s="167"/>
      <c r="V508" s="715"/>
      <c r="W508" s="167"/>
      <c r="X508" s="715"/>
      <c r="Y508" s="715"/>
      <c r="Z508" s="167"/>
      <c r="AA508" s="167"/>
      <c r="AB508" s="167"/>
      <c r="AC508" s="789"/>
      <c r="AD508" s="789"/>
      <c r="AE508" s="149"/>
      <c r="AF508" s="149"/>
      <c r="AG508" s="789"/>
      <c r="AH508" s="149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</row>
    <row r="509" spans="2:49" s="64" customFormat="1">
      <c r="B509" s="63"/>
      <c r="C509" s="147"/>
      <c r="D509" s="186"/>
      <c r="E509" s="167"/>
      <c r="F509" s="167"/>
      <c r="G509" s="167"/>
      <c r="H509" s="715"/>
      <c r="I509" s="167"/>
      <c r="J509" s="715"/>
      <c r="K509" s="167"/>
      <c r="L509" s="167"/>
      <c r="M509" s="715"/>
      <c r="N509" s="167"/>
      <c r="O509" s="715"/>
      <c r="P509" s="167"/>
      <c r="Q509" s="167"/>
      <c r="R509" s="167"/>
      <c r="S509" s="167"/>
      <c r="T509" s="167"/>
      <c r="U509" s="167"/>
      <c r="V509" s="715"/>
      <c r="W509" s="167"/>
      <c r="X509" s="715"/>
      <c r="Y509" s="715"/>
      <c r="Z509" s="167"/>
      <c r="AA509" s="167"/>
      <c r="AB509" s="167"/>
      <c r="AC509" s="789"/>
      <c r="AD509" s="789"/>
      <c r="AE509" s="149"/>
      <c r="AF509" s="149"/>
      <c r="AG509" s="789"/>
      <c r="AH509" s="149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</row>
    <row r="510" spans="2:49" s="64" customFormat="1">
      <c r="B510" s="63"/>
      <c r="C510" s="147"/>
      <c r="D510" s="186"/>
      <c r="E510" s="167"/>
      <c r="F510" s="167"/>
      <c r="G510" s="167"/>
      <c r="H510" s="715"/>
      <c r="I510" s="167"/>
      <c r="J510" s="715"/>
      <c r="K510" s="167"/>
      <c r="L510" s="167"/>
      <c r="M510" s="715"/>
      <c r="N510" s="167"/>
      <c r="O510" s="715"/>
      <c r="P510" s="167"/>
      <c r="Q510" s="167"/>
      <c r="R510" s="167"/>
      <c r="S510" s="167"/>
      <c r="T510" s="167"/>
      <c r="U510" s="167"/>
      <c r="V510" s="715"/>
      <c r="W510" s="167"/>
      <c r="X510" s="715"/>
      <c r="Y510" s="715"/>
      <c r="Z510" s="167"/>
      <c r="AA510" s="167"/>
      <c r="AB510" s="167"/>
      <c r="AC510" s="789"/>
      <c r="AD510" s="789"/>
      <c r="AE510" s="149"/>
      <c r="AF510" s="149"/>
      <c r="AG510" s="789"/>
      <c r="AH510" s="149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</row>
    <row r="511" spans="2:49" s="64" customFormat="1">
      <c r="B511" s="63"/>
      <c r="C511" s="147"/>
      <c r="D511" s="186"/>
      <c r="E511" s="167"/>
      <c r="F511" s="167"/>
      <c r="G511" s="167"/>
      <c r="H511" s="715"/>
      <c r="I511" s="167"/>
      <c r="J511" s="715"/>
      <c r="K511" s="167"/>
      <c r="L511" s="167"/>
      <c r="M511" s="715"/>
      <c r="N511" s="167"/>
      <c r="O511" s="715"/>
      <c r="P511" s="167"/>
      <c r="Q511" s="167"/>
      <c r="R511" s="167"/>
      <c r="S511" s="167"/>
      <c r="T511" s="167"/>
      <c r="U511" s="167"/>
      <c r="V511" s="715"/>
      <c r="W511" s="167"/>
      <c r="X511" s="715"/>
      <c r="Y511" s="715"/>
      <c r="Z511" s="167"/>
      <c r="AA511" s="167"/>
      <c r="AB511" s="167"/>
      <c r="AC511" s="789"/>
      <c r="AD511" s="789"/>
      <c r="AE511" s="149"/>
      <c r="AF511" s="149"/>
      <c r="AG511" s="789"/>
      <c r="AH511" s="149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</row>
    <row r="512" spans="2:49" s="64" customFormat="1">
      <c r="B512" s="63"/>
      <c r="C512" s="147"/>
      <c r="D512" s="186"/>
      <c r="E512" s="167"/>
      <c r="F512" s="167"/>
      <c r="G512" s="167"/>
      <c r="H512" s="715"/>
      <c r="I512" s="167"/>
      <c r="J512" s="715"/>
      <c r="K512" s="167"/>
      <c r="L512" s="167"/>
      <c r="M512" s="715"/>
      <c r="N512" s="167"/>
      <c r="O512" s="715"/>
      <c r="P512" s="167"/>
      <c r="Q512" s="167"/>
      <c r="R512" s="167"/>
      <c r="S512" s="167"/>
      <c r="T512" s="167"/>
      <c r="U512" s="167"/>
      <c r="V512" s="715"/>
      <c r="W512" s="167"/>
      <c r="X512" s="715"/>
      <c r="Y512" s="715"/>
      <c r="Z512" s="167"/>
      <c r="AA512" s="167"/>
      <c r="AB512" s="167"/>
      <c r="AC512" s="789"/>
      <c r="AD512" s="789"/>
      <c r="AE512" s="149"/>
      <c r="AF512" s="149"/>
      <c r="AG512" s="789"/>
      <c r="AH512" s="149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</row>
    <row r="513" spans="2:49" s="64" customFormat="1">
      <c r="B513" s="63"/>
      <c r="C513" s="147"/>
      <c r="D513" s="186"/>
      <c r="E513" s="167"/>
      <c r="F513" s="167"/>
      <c r="G513" s="167"/>
      <c r="H513" s="715"/>
      <c r="I513" s="167"/>
      <c r="J513" s="715"/>
      <c r="K513" s="167"/>
      <c r="L513" s="167"/>
      <c r="M513" s="715"/>
      <c r="N513" s="167"/>
      <c r="O513" s="715"/>
      <c r="P513" s="167"/>
      <c r="Q513" s="167"/>
      <c r="R513" s="167"/>
      <c r="S513" s="167"/>
      <c r="T513" s="167"/>
      <c r="U513" s="167"/>
      <c r="V513" s="715"/>
      <c r="W513" s="167"/>
      <c r="X513" s="715"/>
      <c r="Y513" s="715"/>
      <c r="Z513" s="167"/>
      <c r="AA513" s="167"/>
      <c r="AB513" s="167"/>
      <c r="AC513" s="789"/>
      <c r="AD513" s="789"/>
      <c r="AE513" s="149"/>
      <c r="AF513" s="149"/>
      <c r="AG513" s="789"/>
      <c r="AH513" s="149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</row>
    <row r="514" spans="2:49" s="64" customFormat="1">
      <c r="B514" s="63"/>
      <c r="C514" s="147"/>
      <c r="D514" s="186"/>
      <c r="E514" s="167"/>
      <c r="F514" s="167"/>
      <c r="G514" s="167"/>
      <c r="H514" s="715"/>
      <c r="I514" s="167"/>
      <c r="J514" s="715"/>
      <c r="K514" s="167"/>
      <c r="L514" s="167"/>
      <c r="M514" s="715"/>
      <c r="N514" s="167"/>
      <c r="O514" s="715"/>
      <c r="P514" s="167"/>
      <c r="Q514" s="167"/>
      <c r="R514" s="167"/>
      <c r="S514" s="167"/>
      <c r="T514" s="167"/>
      <c r="U514" s="167"/>
      <c r="V514" s="715"/>
      <c r="W514" s="167"/>
      <c r="X514" s="715"/>
      <c r="Y514" s="715"/>
      <c r="Z514" s="167"/>
      <c r="AA514" s="167"/>
      <c r="AB514" s="167"/>
      <c r="AC514" s="789"/>
      <c r="AD514" s="789"/>
      <c r="AE514" s="149"/>
      <c r="AF514" s="149"/>
      <c r="AG514" s="789"/>
      <c r="AH514" s="149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</row>
    <row r="515" spans="2:49" s="64" customFormat="1">
      <c r="B515" s="63"/>
      <c r="C515" s="147"/>
      <c r="D515" s="186"/>
      <c r="E515" s="167"/>
      <c r="F515" s="167"/>
      <c r="G515" s="167"/>
      <c r="H515" s="715"/>
      <c r="I515" s="167"/>
      <c r="J515" s="715"/>
      <c r="K515" s="167"/>
      <c r="L515" s="167"/>
      <c r="M515" s="715"/>
      <c r="N515" s="167"/>
      <c r="O515" s="715"/>
      <c r="P515" s="167"/>
      <c r="Q515" s="167"/>
      <c r="R515" s="167"/>
      <c r="S515" s="167"/>
      <c r="T515" s="167"/>
      <c r="U515" s="167"/>
      <c r="V515" s="715"/>
      <c r="W515" s="167"/>
      <c r="X515" s="715"/>
      <c r="Y515" s="715"/>
      <c r="Z515" s="167"/>
      <c r="AA515" s="167"/>
      <c r="AB515" s="167"/>
      <c r="AC515" s="789"/>
      <c r="AD515" s="789"/>
      <c r="AE515" s="149"/>
      <c r="AF515" s="149"/>
      <c r="AG515" s="789"/>
      <c r="AH515" s="149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</row>
    <row r="516" spans="2:49" s="64" customFormat="1">
      <c r="B516" s="63"/>
      <c r="C516" s="147"/>
      <c r="D516" s="186"/>
      <c r="E516" s="167"/>
      <c r="F516" s="167"/>
      <c r="G516" s="167"/>
      <c r="H516" s="715"/>
      <c r="I516" s="167"/>
      <c r="J516" s="715"/>
      <c r="K516" s="167"/>
      <c r="L516" s="167"/>
      <c r="M516" s="715"/>
      <c r="N516" s="167"/>
      <c r="O516" s="715"/>
      <c r="P516" s="167"/>
      <c r="Q516" s="167"/>
      <c r="R516" s="167"/>
      <c r="S516" s="167"/>
      <c r="T516" s="167"/>
      <c r="U516" s="167"/>
      <c r="V516" s="715"/>
      <c r="W516" s="167"/>
      <c r="X516" s="715"/>
      <c r="Y516" s="715"/>
      <c r="Z516" s="167"/>
      <c r="AA516" s="167"/>
      <c r="AB516" s="167"/>
      <c r="AC516" s="789"/>
      <c r="AD516" s="789"/>
      <c r="AE516" s="149"/>
      <c r="AF516" s="149"/>
      <c r="AG516" s="789"/>
      <c r="AH516" s="149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</row>
    <row r="517" spans="2:49" s="64" customFormat="1">
      <c r="B517" s="63"/>
      <c r="C517" s="147"/>
      <c r="D517" s="186"/>
      <c r="E517" s="167"/>
      <c r="F517" s="167"/>
      <c r="G517" s="167"/>
      <c r="H517" s="715"/>
      <c r="I517" s="167"/>
      <c r="J517" s="715"/>
      <c r="K517" s="167"/>
      <c r="L517" s="167"/>
      <c r="M517" s="715"/>
      <c r="N517" s="167"/>
      <c r="O517" s="715"/>
      <c r="P517" s="167"/>
      <c r="Q517" s="167"/>
      <c r="R517" s="167"/>
      <c r="S517" s="167"/>
      <c r="T517" s="167"/>
      <c r="U517" s="167"/>
      <c r="V517" s="715"/>
      <c r="W517" s="167"/>
      <c r="X517" s="715"/>
      <c r="Y517" s="715"/>
      <c r="Z517" s="167"/>
      <c r="AA517" s="167"/>
      <c r="AB517" s="167"/>
      <c r="AC517" s="789"/>
      <c r="AD517" s="789"/>
      <c r="AE517" s="149"/>
      <c r="AF517" s="149"/>
      <c r="AG517" s="789"/>
      <c r="AH517" s="149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</row>
    <row r="518" spans="2:49" s="64" customFormat="1">
      <c r="B518" s="63"/>
      <c r="C518" s="147"/>
      <c r="D518" s="186"/>
      <c r="E518" s="167"/>
      <c r="F518" s="167"/>
      <c r="G518" s="167"/>
      <c r="H518" s="715"/>
      <c r="I518" s="167"/>
      <c r="J518" s="715"/>
      <c r="K518" s="167"/>
      <c r="L518" s="167"/>
      <c r="M518" s="715"/>
      <c r="N518" s="167"/>
      <c r="O518" s="715"/>
      <c r="P518" s="167"/>
      <c r="Q518" s="167"/>
      <c r="R518" s="167"/>
      <c r="S518" s="167"/>
      <c r="T518" s="167"/>
      <c r="U518" s="167"/>
      <c r="V518" s="715"/>
      <c r="W518" s="167"/>
      <c r="X518" s="715"/>
      <c r="Y518" s="715"/>
      <c r="Z518" s="167"/>
      <c r="AA518" s="167"/>
      <c r="AB518" s="167"/>
      <c r="AC518" s="789"/>
      <c r="AD518" s="789"/>
      <c r="AE518" s="149"/>
      <c r="AF518" s="149"/>
      <c r="AG518" s="789"/>
      <c r="AH518" s="149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</row>
    <row r="519" spans="2:49" s="64" customFormat="1">
      <c r="B519" s="63"/>
      <c r="C519" s="147"/>
      <c r="D519" s="186"/>
      <c r="E519" s="167"/>
      <c r="F519" s="167"/>
      <c r="G519" s="167"/>
      <c r="H519" s="715"/>
      <c r="I519" s="167"/>
      <c r="J519" s="715"/>
      <c r="K519" s="167"/>
      <c r="L519" s="167"/>
      <c r="M519" s="715"/>
      <c r="N519" s="167"/>
      <c r="O519" s="715"/>
      <c r="P519" s="167"/>
      <c r="Q519" s="167"/>
      <c r="R519" s="167"/>
      <c r="S519" s="167"/>
      <c r="T519" s="167"/>
      <c r="U519" s="167"/>
      <c r="V519" s="715"/>
      <c r="W519" s="167"/>
      <c r="X519" s="715"/>
      <c r="Y519" s="715"/>
      <c r="Z519" s="167"/>
      <c r="AA519" s="167"/>
      <c r="AB519" s="167"/>
      <c r="AC519" s="789"/>
      <c r="AD519" s="789"/>
      <c r="AE519" s="149"/>
      <c r="AF519" s="149"/>
      <c r="AG519" s="789"/>
      <c r="AH519" s="149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</row>
    <row r="520" spans="2:49" s="64" customFormat="1">
      <c r="B520" s="63"/>
      <c r="C520" s="147"/>
      <c r="D520" s="186"/>
      <c r="E520" s="167"/>
      <c r="F520" s="167"/>
      <c r="G520" s="167"/>
      <c r="H520" s="715"/>
      <c r="I520" s="167"/>
      <c r="J520" s="715"/>
      <c r="K520" s="167"/>
      <c r="L520" s="167"/>
      <c r="M520" s="715"/>
      <c r="N520" s="167"/>
      <c r="O520" s="715"/>
      <c r="P520" s="167"/>
      <c r="Q520" s="167"/>
      <c r="R520" s="167"/>
      <c r="S520" s="167"/>
      <c r="T520" s="167"/>
      <c r="U520" s="167"/>
      <c r="V520" s="715"/>
      <c r="W520" s="167"/>
      <c r="X520" s="715"/>
      <c r="Y520" s="715"/>
      <c r="Z520" s="167"/>
      <c r="AA520" s="167"/>
      <c r="AB520" s="167"/>
      <c r="AC520" s="789"/>
      <c r="AD520" s="789"/>
      <c r="AE520" s="149"/>
      <c r="AF520" s="149"/>
      <c r="AG520" s="789"/>
      <c r="AH520" s="149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</row>
    <row r="521" spans="2:49" s="64" customFormat="1">
      <c r="B521" s="63"/>
      <c r="C521" s="147"/>
      <c r="D521" s="186"/>
      <c r="E521" s="167"/>
      <c r="F521" s="167"/>
      <c r="G521" s="167"/>
      <c r="H521" s="715"/>
      <c r="I521" s="167"/>
      <c r="J521" s="715"/>
      <c r="K521" s="167"/>
      <c r="L521" s="167"/>
      <c r="M521" s="715"/>
      <c r="N521" s="167"/>
      <c r="O521" s="715"/>
      <c r="P521" s="167"/>
      <c r="Q521" s="167"/>
      <c r="R521" s="167"/>
      <c r="S521" s="167"/>
      <c r="T521" s="167"/>
      <c r="U521" s="167"/>
      <c r="V521" s="715"/>
      <c r="W521" s="167"/>
      <c r="X521" s="715"/>
      <c r="Y521" s="715"/>
      <c r="Z521" s="167"/>
      <c r="AA521" s="167"/>
      <c r="AB521" s="167"/>
      <c r="AC521" s="789"/>
      <c r="AD521" s="789"/>
      <c r="AE521" s="149"/>
      <c r="AF521" s="149"/>
      <c r="AG521" s="789"/>
      <c r="AH521" s="149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</row>
    <row r="522" spans="2:49" s="64" customFormat="1">
      <c r="B522" s="63"/>
      <c r="C522" s="147"/>
      <c r="D522" s="186"/>
      <c r="E522" s="167"/>
      <c r="F522" s="167"/>
      <c r="G522" s="167"/>
      <c r="H522" s="715"/>
      <c r="I522" s="167"/>
      <c r="J522" s="715"/>
      <c r="K522" s="167"/>
      <c r="L522" s="167"/>
      <c r="M522" s="715"/>
      <c r="N522" s="167"/>
      <c r="O522" s="715"/>
      <c r="P522" s="167"/>
      <c r="Q522" s="167"/>
      <c r="R522" s="167"/>
      <c r="S522" s="167"/>
      <c r="T522" s="167"/>
      <c r="U522" s="167"/>
      <c r="V522" s="715"/>
      <c r="W522" s="167"/>
      <c r="X522" s="715"/>
      <c r="Y522" s="715"/>
      <c r="Z522" s="167"/>
      <c r="AA522" s="167"/>
      <c r="AB522" s="167"/>
      <c r="AC522" s="789"/>
      <c r="AD522" s="789"/>
      <c r="AE522" s="149"/>
      <c r="AF522" s="149"/>
      <c r="AG522" s="789"/>
      <c r="AH522" s="149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</row>
    <row r="523" spans="2:49" s="64" customFormat="1">
      <c r="B523" s="63"/>
      <c r="C523" s="147"/>
      <c r="D523" s="186"/>
      <c r="E523" s="167"/>
      <c r="F523" s="167"/>
      <c r="G523" s="167"/>
      <c r="H523" s="715"/>
      <c r="I523" s="167"/>
      <c r="J523" s="715"/>
      <c r="K523" s="167"/>
      <c r="L523" s="167"/>
      <c r="M523" s="715"/>
      <c r="N523" s="167"/>
      <c r="O523" s="715"/>
      <c r="P523" s="167"/>
      <c r="Q523" s="167"/>
      <c r="R523" s="167"/>
      <c r="S523" s="167"/>
      <c r="T523" s="167"/>
      <c r="U523" s="167"/>
      <c r="V523" s="715"/>
      <c r="W523" s="167"/>
      <c r="X523" s="715"/>
      <c r="Y523" s="715"/>
      <c r="Z523" s="167"/>
      <c r="AA523" s="167"/>
      <c r="AB523" s="167"/>
      <c r="AC523" s="789"/>
      <c r="AD523" s="789"/>
      <c r="AE523" s="149"/>
      <c r="AF523" s="149"/>
      <c r="AG523" s="789"/>
      <c r="AH523" s="149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</row>
    <row r="524" spans="2:49" s="64" customFormat="1">
      <c r="B524" s="63"/>
      <c r="C524" s="147"/>
      <c r="D524" s="186"/>
      <c r="E524" s="167"/>
      <c r="F524" s="167"/>
      <c r="G524" s="167"/>
      <c r="H524" s="715"/>
      <c r="I524" s="167"/>
      <c r="J524" s="715"/>
      <c r="K524" s="167"/>
      <c r="L524" s="167"/>
      <c r="M524" s="715"/>
      <c r="N524" s="167"/>
      <c r="O524" s="715"/>
      <c r="P524" s="167"/>
      <c r="Q524" s="167"/>
      <c r="R524" s="167"/>
      <c r="S524" s="167"/>
      <c r="T524" s="167"/>
      <c r="U524" s="167"/>
      <c r="V524" s="715"/>
      <c r="W524" s="167"/>
      <c r="X524" s="715"/>
      <c r="Y524" s="715"/>
      <c r="Z524" s="167"/>
      <c r="AA524" s="167"/>
      <c r="AB524" s="167"/>
      <c r="AC524" s="789"/>
      <c r="AD524" s="789"/>
      <c r="AE524" s="149"/>
      <c r="AF524" s="149"/>
      <c r="AG524" s="789"/>
      <c r="AH524" s="149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</row>
    <row r="525" spans="2:49" s="64" customFormat="1">
      <c r="B525" s="63"/>
      <c r="C525" s="147"/>
      <c r="D525" s="186"/>
      <c r="E525" s="167"/>
      <c r="F525" s="167"/>
      <c r="G525" s="167"/>
      <c r="H525" s="715"/>
      <c r="I525" s="167"/>
      <c r="J525" s="715"/>
      <c r="K525" s="167"/>
      <c r="L525" s="167"/>
      <c r="M525" s="715"/>
      <c r="N525" s="167"/>
      <c r="O525" s="715"/>
      <c r="P525" s="167"/>
      <c r="Q525" s="167"/>
      <c r="R525" s="167"/>
      <c r="S525" s="167"/>
      <c r="T525" s="167"/>
      <c r="U525" s="167"/>
      <c r="V525" s="715"/>
      <c r="W525" s="167"/>
      <c r="X525" s="715"/>
      <c r="Y525" s="715"/>
      <c r="Z525" s="167"/>
      <c r="AA525" s="167"/>
      <c r="AB525" s="167"/>
      <c r="AC525" s="789"/>
      <c r="AD525" s="789"/>
      <c r="AE525" s="149"/>
      <c r="AF525" s="149"/>
      <c r="AG525" s="789"/>
      <c r="AH525" s="149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</row>
    <row r="526" spans="2:49" s="64" customFormat="1">
      <c r="B526" s="63"/>
      <c r="C526" s="147"/>
      <c r="D526" s="186"/>
      <c r="E526" s="167"/>
      <c r="F526" s="167"/>
      <c r="G526" s="167"/>
      <c r="H526" s="715"/>
      <c r="I526" s="167"/>
      <c r="J526" s="715"/>
      <c r="K526" s="167"/>
      <c r="L526" s="167"/>
      <c r="M526" s="715"/>
      <c r="N526" s="167"/>
      <c r="O526" s="715"/>
      <c r="P526" s="167"/>
      <c r="Q526" s="167"/>
      <c r="R526" s="167"/>
      <c r="S526" s="167"/>
      <c r="T526" s="167"/>
      <c r="U526" s="167"/>
      <c r="V526" s="715"/>
      <c r="W526" s="167"/>
      <c r="X526" s="715"/>
      <c r="Y526" s="715"/>
      <c r="Z526" s="167"/>
      <c r="AA526" s="167"/>
      <c r="AB526" s="167"/>
      <c r="AC526" s="789"/>
      <c r="AD526" s="789"/>
      <c r="AE526" s="149"/>
      <c r="AF526" s="149"/>
      <c r="AG526" s="789"/>
      <c r="AH526" s="149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</row>
    <row r="527" spans="2:49" s="64" customFormat="1">
      <c r="B527" s="63"/>
      <c r="C527" s="147"/>
      <c r="D527" s="186"/>
      <c r="E527" s="167"/>
      <c r="F527" s="167"/>
      <c r="G527" s="167"/>
      <c r="H527" s="715"/>
      <c r="I527" s="167"/>
      <c r="J527" s="715"/>
      <c r="K527" s="167"/>
      <c r="L527" s="167"/>
      <c r="M527" s="715"/>
      <c r="N527" s="167"/>
      <c r="O527" s="715"/>
      <c r="P527" s="167"/>
      <c r="Q527" s="167"/>
      <c r="R527" s="167"/>
      <c r="S527" s="167"/>
      <c r="T527" s="167"/>
      <c r="U527" s="167"/>
      <c r="V527" s="715"/>
      <c r="W527" s="167"/>
      <c r="X527" s="715"/>
      <c r="Y527" s="715"/>
      <c r="Z527" s="167"/>
      <c r="AA527" s="167"/>
      <c r="AB527" s="167"/>
      <c r="AC527" s="789"/>
      <c r="AD527" s="789"/>
      <c r="AE527" s="149"/>
      <c r="AF527" s="149"/>
      <c r="AG527" s="789"/>
      <c r="AH527" s="149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</row>
    <row r="528" spans="2:49" s="64" customFormat="1">
      <c r="B528" s="63"/>
      <c r="C528" s="147"/>
      <c r="D528" s="186"/>
      <c r="E528" s="167"/>
      <c r="F528" s="167"/>
      <c r="G528" s="167"/>
      <c r="H528" s="715"/>
      <c r="I528" s="167"/>
      <c r="J528" s="715"/>
      <c r="K528" s="167"/>
      <c r="L528" s="167"/>
      <c r="M528" s="715"/>
      <c r="N528" s="167"/>
      <c r="O528" s="715"/>
      <c r="P528" s="167"/>
      <c r="Q528" s="167"/>
      <c r="R528" s="167"/>
      <c r="S528" s="167"/>
      <c r="T528" s="167"/>
      <c r="U528" s="167"/>
      <c r="V528" s="715"/>
      <c r="W528" s="167"/>
      <c r="X528" s="715"/>
      <c r="Y528" s="715"/>
      <c r="Z528" s="167"/>
      <c r="AA528" s="167"/>
      <c r="AB528" s="167"/>
      <c r="AC528" s="789"/>
      <c r="AD528" s="789"/>
      <c r="AE528" s="149"/>
      <c r="AF528" s="149"/>
      <c r="AG528" s="789"/>
      <c r="AH528" s="149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</row>
    <row r="529" spans="2:49" s="64" customFormat="1">
      <c r="B529" s="63"/>
      <c r="C529" s="147"/>
      <c r="D529" s="186"/>
      <c r="E529" s="167"/>
      <c r="F529" s="167"/>
      <c r="G529" s="167"/>
      <c r="H529" s="715"/>
      <c r="I529" s="167"/>
      <c r="J529" s="715"/>
      <c r="K529" s="167"/>
      <c r="L529" s="167"/>
      <c r="M529" s="715"/>
      <c r="N529" s="167"/>
      <c r="O529" s="715"/>
      <c r="P529" s="167"/>
      <c r="Q529" s="167"/>
      <c r="R529" s="167"/>
      <c r="S529" s="167"/>
      <c r="T529" s="167"/>
      <c r="U529" s="167"/>
      <c r="V529" s="715"/>
      <c r="W529" s="167"/>
      <c r="X529" s="715"/>
      <c r="Y529" s="715"/>
      <c r="Z529" s="167"/>
      <c r="AA529" s="167"/>
      <c r="AB529" s="167"/>
      <c r="AC529" s="789"/>
      <c r="AD529" s="789"/>
      <c r="AE529" s="149"/>
      <c r="AF529" s="149"/>
      <c r="AG529" s="789"/>
      <c r="AH529" s="149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</row>
    <row r="530" spans="2:49" s="64" customFormat="1">
      <c r="B530" s="63"/>
      <c r="C530" s="147"/>
      <c r="D530" s="186"/>
      <c r="E530" s="167"/>
      <c r="F530" s="167"/>
      <c r="G530" s="167"/>
      <c r="H530" s="715"/>
      <c r="I530" s="167"/>
      <c r="J530" s="715"/>
      <c r="K530" s="167"/>
      <c r="L530" s="167"/>
      <c r="M530" s="715"/>
      <c r="N530" s="167"/>
      <c r="O530" s="715"/>
      <c r="P530" s="167"/>
      <c r="Q530" s="167"/>
      <c r="R530" s="167"/>
      <c r="S530" s="167"/>
      <c r="T530" s="167"/>
      <c r="U530" s="167"/>
      <c r="V530" s="715"/>
      <c r="W530" s="167"/>
      <c r="X530" s="715"/>
      <c r="Y530" s="715"/>
      <c r="Z530" s="167"/>
      <c r="AA530" s="167"/>
      <c r="AB530" s="167"/>
      <c r="AC530" s="789"/>
      <c r="AD530" s="789"/>
      <c r="AE530" s="149"/>
      <c r="AF530" s="149"/>
      <c r="AG530" s="789"/>
      <c r="AH530" s="149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</row>
    <row r="531" spans="2:49" s="64" customFormat="1">
      <c r="B531" s="63"/>
      <c r="C531" s="147"/>
      <c r="D531" s="186"/>
      <c r="E531" s="167"/>
      <c r="F531" s="167"/>
      <c r="G531" s="167"/>
      <c r="H531" s="715"/>
      <c r="I531" s="167"/>
      <c r="J531" s="715"/>
      <c r="K531" s="167"/>
      <c r="L531" s="167"/>
      <c r="M531" s="715"/>
      <c r="N531" s="167"/>
      <c r="O531" s="715"/>
      <c r="P531" s="167"/>
      <c r="Q531" s="167"/>
      <c r="R531" s="167"/>
      <c r="S531" s="167"/>
      <c r="T531" s="167"/>
      <c r="U531" s="167"/>
      <c r="V531" s="715"/>
      <c r="W531" s="167"/>
      <c r="X531" s="715"/>
      <c r="Y531" s="715"/>
      <c r="Z531" s="167"/>
      <c r="AA531" s="167"/>
      <c r="AB531" s="167"/>
      <c r="AC531" s="789"/>
      <c r="AD531" s="789"/>
      <c r="AE531" s="149"/>
      <c r="AF531" s="149"/>
      <c r="AG531" s="789"/>
      <c r="AH531" s="149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</row>
    <row r="532" spans="2:49" s="64" customFormat="1">
      <c r="B532" s="63"/>
      <c r="C532" s="147"/>
      <c r="D532" s="186"/>
      <c r="E532" s="167"/>
      <c r="F532" s="167"/>
      <c r="G532" s="167"/>
      <c r="H532" s="715"/>
      <c r="I532" s="167"/>
      <c r="J532" s="715"/>
      <c r="K532" s="167"/>
      <c r="L532" s="167"/>
      <c r="M532" s="715"/>
      <c r="N532" s="167"/>
      <c r="O532" s="715"/>
      <c r="P532" s="167"/>
      <c r="Q532" s="167"/>
      <c r="R532" s="167"/>
      <c r="S532" s="167"/>
      <c r="T532" s="167"/>
      <c r="U532" s="167"/>
      <c r="V532" s="715"/>
      <c r="W532" s="167"/>
      <c r="X532" s="715"/>
      <c r="Y532" s="715"/>
      <c r="Z532" s="167"/>
      <c r="AA532" s="167"/>
      <c r="AB532" s="167"/>
      <c r="AC532" s="789"/>
      <c r="AD532" s="789"/>
      <c r="AE532" s="149"/>
      <c r="AF532" s="149"/>
      <c r="AG532" s="789"/>
      <c r="AH532" s="149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</row>
    <row r="533" spans="2:49" s="64" customFormat="1">
      <c r="B533" s="63"/>
      <c r="C533" s="147"/>
      <c r="D533" s="186"/>
      <c r="E533" s="167"/>
      <c r="F533" s="167"/>
      <c r="G533" s="167"/>
      <c r="H533" s="715"/>
      <c r="I533" s="167"/>
      <c r="J533" s="715"/>
      <c r="K533" s="167"/>
      <c r="L533" s="167"/>
      <c r="M533" s="715"/>
      <c r="N533" s="167"/>
      <c r="O533" s="715"/>
      <c r="P533" s="167"/>
      <c r="Q533" s="167"/>
      <c r="R533" s="167"/>
      <c r="S533" s="167"/>
      <c r="T533" s="167"/>
      <c r="U533" s="167"/>
      <c r="V533" s="715"/>
      <c r="W533" s="167"/>
      <c r="X533" s="715"/>
      <c r="Y533" s="715"/>
      <c r="Z533" s="167"/>
      <c r="AA533" s="167"/>
      <c r="AB533" s="167"/>
      <c r="AC533" s="789"/>
      <c r="AD533" s="789"/>
      <c r="AE533" s="149"/>
      <c r="AF533" s="149"/>
      <c r="AG533" s="789"/>
      <c r="AH533" s="149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</row>
    <row r="534" spans="2:49" s="64" customFormat="1">
      <c r="B534" s="63"/>
      <c r="C534" s="147"/>
      <c r="D534" s="186"/>
      <c r="E534" s="167"/>
      <c r="F534" s="167"/>
      <c r="G534" s="167"/>
      <c r="H534" s="715"/>
      <c r="I534" s="167"/>
      <c r="J534" s="715"/>
      <c r="K534" s="167"/>
      <c r="L534" s="167"/>
      <c r="M534" s="715"/>
      <c r="N534" s="167"/>
      <c r="O534" s="715"/>
      <c r="P534" s="167"/>
      <c r="Q534" s="167"/>
      <c r="R534" s="167"/>
      <c r="S534" s="167"/>
      <c r="T534" s="167"/>
      <c r="U534" s="167"/>
      <c r="V534" s="715"/>
      <c r="W534" s="167"/>
      <c r="X534" s="715"/>
      <c r="Y534" s="715"/>
      <c r="Z534" s="167"/>
      <c r="AA534" s="167"/>
      <c r="AB534" s="167"/>
      <c r="AC534" s="789"/>
      <c r="AD534" s="789"/>
      <c r="AE534" s="149"/>
      <c r="AF534" s="149"/>
      <c r="AG534" s="789"/>
      <c r="AH534" s="149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</row>
    <row r="535" spans="2:49" s="64" customFormat="1">
      <c r="B535" s="63"/>
      <c r="C535" s="147"/>
      <c r="D535" s="186"/>
      <c r="E535" s="167"/>
      <c r="F535" s="167"/>
      <c r="G535" s="167"/>
      <c r="H535" s="715"/>
      <c r="I535" s="167"/>
      <c r="J535" s="715"/>
      <c r="K535" s="167"/>
      <c r="L535" s="167"/>
      <c r="M535" s="715"/>
      <c r="N535" s="167"/>
      <c r="O535" s="715"/>
      <c r="P535" s="167"/>
      <c r="Q535" s="167"/>
      <c r="R535" s="167"/>
      <c r="S535" s="167"/>
      <c r="T535" s="167"/>
      <c r="U535" s="167"/>
      <c r="V535" s="715"/>
      <c r="W535" s="167"/>
      <c r="X535" s="715"/>
      <c r="Y535" s="715"/>
      <c r="Z535" s="167"/>
      <c r="AA535" s="167"/>
      <c r="AB535" s="167"/>
      <c r="AC535" s="789"/>
      <c r="AD535" s="789"/>
      <c r="AE535" s="149"/>
      <c r="AF535" s="149"/>
      <c r="AG535" s="789"/>
      <c r="AH535" s="149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</row>
    <row r="536" spans="2:49" s="64" customFormat="1">
      <c r="B536" s="63"/>
      <c r="C536" s="147"/>
      <c r="D536" s="186"/>
      <c r="E536" s="167"/>
      <c r="F536" s="167"/>
      <c r="G536" s="167"/>
      <c r="H536" s="715"/>
      <c r="I536" s="167"/>
      <c r="J536" s="715"/>
      <c r="K536" s="167"/>
      <c r="L536" s="167"/>
      <c r="M536" s="715"/>
      <c r="N536" s="167"/>
      <c r="O536" s="715"/>
      <c r="P536" s="167"/>
      <c r="Q536" s="167"/>
      <c r="R536" s="167"/>
      <c r="S536" s="167"/>
      <c r="T536" s="167"/>
      <c r="U536" s="167"/>
      <c r="V536" s="715"/>
      <c r="W536" s="167"/>
      <c r="X536" s="715"/>
      <c r="Y536" s="715"/>
      <c r="Z536" s="167"/>
      <c r="AA536" s="167"/>
      <c r="AB536" s="167"/>
      <c r="AC536" s="789"/>
      <c r="AD536" s="789"/>
      <c r="AE536" s="149"/>
      <c r="AF536" s="149"/>
      <c r="AG536" s="789"/>
      <c r="AH536" s="149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</row>
    <row r="537" spans="2:49" s="64" customFormat="1">
      <c r="B537" s="63"/>
      <c r="C537" s="147"/>
      <c r="D537" s="186"/>
      <c r="E537" s="167"/>
      <c r="F537" s="167"/>
      <c r="G537" s="167"/>
      <c r="H537" s="715"/>
      <c r="I537" s="167"/>
      <c r="J537" s="715"/>
      <c r="K537" s="167"/>
      <c r="L537" s="167"/>
      <c r="M537" s="715"/>
      <c r="N537" s="167"/>
      <c r="O537" s="715"/>
      <c r="P537" s="167"/>
      <c r="Q537" s="167"/>
      <c r="R537" s="167"/>
      <c r="S537" s="167"/>
      <c r="T537" s="167"/>
      <c r="U537" s="167"/>
      <c r="V537" s="715"/>
      <c r="W537" s="167"/>
      <c r="X537" s="715"/>
      <c r="Y537" s="715"/>
      <c r="Z537" s="167"/>
      <c r="AA537" s="167"/>
      <c r="AB537" s="167"/>
      <c r="AC537" s="789"/>
      <c r="AD537" s="789"/>
      <c r="AE537" s="149"/>
      <c r="AF537" s="149"/>
      <c r="AG537" s="789"/>
      <c r="AH537" s="149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</row>
    <row r="538" spans="2:49" s="64" customFormat="1">
      <c r="B538" s="63"/>
      <c r="C538" s="147"/>
      <c r="D538" s="186"/>
      <c r="E538" s="167"/>
      <c r="F538" s="167"/>
      <c r="G538" s="167"/>
      <c r="H538" s="715"/>
      <c r="I538" s="167"/>
      <c r="J538" s="715"/>
      <c r="K538" s="167"/>
      <c r="L538" s="167"/>
      <c r="M538" s="715"/>
      <c r="N538" s="167"/>
      <c r="O538" s="715"/>
      <c r="P538" s="167"/>
      <c r="Q538" s="167"/>
      <c r="R538" s="167"/>
      <c r="S538" s="167"/>
      <c r="T538" s="167"/>
      <c r="U538" s="167"/>
      <c r="V538" s="715"/>
      <c r="W538" s="167"/>
      <c r="X538" s="715"/>
      <c r="Y538" s="715"/>
      <c r="Z538" s="167"/>
      <c r="AA538" s="167"/>
      <c r="AB538" s="167"/>
      <c r="AC538" s="789"/>
      <c r="AD538" s="789"/>
      <c r="AE538" s="149"/>
      <c r="AF538" s="149"/>
      <c r="AG538" s="789"/>
      <c r="AH538" s="149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</row>
    <row r="539" spans="2:49" s="64" customFormat="1">
      <c r="B539" s="63"/>
      <c r="C539" s="147"/>
      <c r="D539" s="186"/>
      <c r="E539" s="167"/>
      <c r="F539" s="167"/>
      <c r="G539" s="167"/>
      <c r="H539" s="715"/>
      <c r="I539" s="167"/>
      <c r="J539" s="715"/>
      <c r="K539" s="167"/>
      <c r="L539" s="167"/>
      <c r="M539" s="715"/>
      <c r="N539" s="167"/>
      <c r="O539" s="715"/>
      <c r="P539" s="167"/>
      <c r="Q539" s="167"/>
      <c r="R539" s="167"/>
      <c r="S539" s="167"/>
      <c r="T539" s="167"/>
      <c r="U539" s="167"/>
      <c r="V539" s="715"/>
      <c r="W539" s="167"/>
      <c r="X539" s="715"/>
      <c r="Y539" s="715"/>
      <c r="Z539" s="167"/>
      <c r="AA539" s="167"/>
      <c r="AB539" s="167"/>
      <c r="AC539" s="789"/>
      <c r="AD539" s="789"/>
      <c r="AE539" s="149"/>
      <c r="AF539" s="149"/>
      <c r="AG539" s="789"/>
      <c r="AH539" s="149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</row>
    <row r="540" spans="2:49" s="64" customFormat="1">
      <c r="B540" s="63"/>
      <c r="C540" s="147"/>
      <c r="D540" s="186"/>
      <c r="E540" s="167"/>
      <c r="F540" s="167"/>
      <c r="G540" s="167"/>
      <c r="H540" s="715"/>
      <c r="I540" s="167"/>
      <c r="J540" s="715"/>
      <c r="K540" s="167"/>
      <c r="L540" s="167"/>
      <c r="M540" s="715"/>
      <c r="N540" s="167"/>
      <c r="O540" s="715"/>
      <c r="P540" s="167"/>
      <c r="Q540" s="167"/>
      <c r="R540" s="167"/>
      <c r="S540" s="167"/>
      <c r="T540" s="167"/>
      <c r="U540" s="167"/>
      <c r="V540" s="715"/>
      <c r="W540" s="167"/>
      <c r="X540" s="715"/>
      <c r="Y540" s="715"/>
      <c r="Z540" s="167"/>
      <c r="AA540" s="167"/>
      <c r="AB540" s="167"/>
      <c r="AC540" s="789"/>
      <c r="AD540" s="789"/>
      <c r="AE540" s="149"/>
      <c r="AF540" s="149"/>
      <c r="AG540" s="789"/>
      <c r="AH540" s="149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</row>
    <row r="541" spans="2:49" s="64" customFormat="1">
      <c r="B541" s="63"/>
      <c r="C541" s="147"/>
      <c r="D541" s="186"/>
      <c r="E541" s="167"/>
      <c r="F541" s="167"/>
      <c r="G541" s="167"/>
      <c r="H541" s="715"/>
      <c r="I541" s="167"/>
      <c r="J541" s="715"/>
      <c r="K541" s="167"/>
      <c r="L541" s="167"/>
      <c r="M541" s="715"/>
      <c r="N541" s="167"/>
      <c r="O541" s="715"/>
      <c r="P541" s="167"/>
      <c r="Q541" s="167"/>
      <c r="R541" s="167"/>
      <c r="S541" s="167"/>
      <c r="T541" s="167"/>
      <c r="U541" s="167"/>
      <c r="V541" s="715"/>
      <c r="W541" s="167"/>
      <c r="X541" s="715"/>
      <c r="Y541" s="715"/>
      <c r="Z541" s="167"/>
      <c r="AA541" s="167"/>
      <c r="AB541" s="167"/>
      <c r="AC541" s="789"/>
      <c r="AD541" s="789"/>
      <c r="AE541" s="149"/>
      <c r="AF541" s="149"/>
      <c r="AG541" s="789"/>
      <c r="AH541" s="149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</row>
    <row r="542" spans="2:49" s="64" customFormat="1">
      <c r="B542" s="63"/>
      <c r="C542" s="147"/>
      <c r="D542" s="186"/>
      <c r="E542" s="167"/>
      <c r="F542" s="167"/>
      <c r="G542" s="167"/>
      <c r="H542" s="715"/>
      <c r="I542" s="167"/>
      <c r="J542" s="715"/>
      <c r="K542" s="167"/>
      <c r="L542" s="167"/>
      <c r="M542" s="715"/>
      <c r="N542" s="167"/>
      <c r="O542" s="715"/>
      <c r="P542" s="167"/>
      <c r="Q542" s="167"/>
      <c r="R542" s="167"/>
      <c r="S542" s="167"/>
      <c r="T542" s="167"/>
      <c r="U542" s="167"/>
      <c r="V542" s="715"/>
      <c r="W542" s="167"/>
      <c r="X542" s="715"/>
      <c r="Y542" s="715"/>
      <c r="Z542" s="167"/>
      <c r="AA542" s="167"/>
      <c r="AB542" s="167"/>
      <c r="AC542" s="789"/>
      <c r="AD542" s="789"/>
      <c r="AE542" s="149"/>
      <c r="AF542" s="149"/>
      <c r="AG542" s="789"/>
      <c r="AH542" s="149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</row>
    <row r="543" spans="2:49" s="64" customFormat="1">
      <c r="B543" s="63"/>
      <c r="C543" s="147"/>
      <c r="D543" s="186"/>
      <c r="E543" s="167"/>
      <c r="F543" s="167"/>
      <c r="G543" s="167"/>
      <c r="H543" s="715"/>
      <c r="I543" s="167"/>
      <c r="J543" s="715"/>
      <c r="K543" s="167"/>
      <c r="L543" s="167"/>
      <c r="M543" s="715"/>
      <c r="N543" s="167"/>
      <c r="O543" s="715"/>
      <c r="P543" s="167"/>
      <c r="Q543" s="167"/>
      <c r="R543" s="167"/>
      <c r="S543" s="167"/>
      <c r="T543" s="167"/>
      <c r="U543" s="167"/>
      <c r="V543" s="715"/>
      <c r="W543" s="167"/>
      <c r="X543" s="715"/>
      <c r="Y543" s="715"/>
      <c r="Z543" s="167"/>
      <c r="AA543" s="167"/>
      <c r="AB543" s="167"/>
      <c r="AC543" s="789"/>
      <c r="AD543" s="789"/>
      <c r="AE543" s="149"/>
      <c r="AF543" s="149"/>
      <c r="AG543" s="789"/>
      <c r="AH543" s="149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</row>
    <row r="544" spans="2:49" s="64" customFormat="1">
      <c r="B544" s="63"/>
      <c r="C544" s="147"/>
      <c r="D544" s="186"/>
      <c r="E544" s="167"/>
      <c r="F544" s="167"/>
      <c r="G544" s="167"/>
      <c r="H544" s="715"/>
      <c r="I544" s="167"/>
      <c r="J544" s="715"/>
      <c r="K544" s="167"/>
      <c r="L544" s="167"/>
      <c r="M544" s="715"/>
      <c r="N544" s="167"/>
      <c r="O544" s="715"/>
      <c r="P544" s="167"/>
      <c r="Q544" s="167"/>
      <c r="R544" s="167"/>
      <c r="S544" s="167"/>
      <c r="T544" s="167"/>
      <c r="U544" s="167"/>
      <c r="V544" s="715"/>
      <c r="W544" s="167"/>
      <c r="X544" s="715"/>
      <c r="Y544" s="715"/>
      <c r="Z544" s="167"/>
      <c r="AA544" s="167"/>
      <c r="AB544" s="167"/>
      <c r="AC544" s="789"/>
      <c r="AD544" s="789"/>
      <c r="AE544" s="149"/>
      <c r="AF544" s="149"/>
      <c r="AG544" s="789"/>
      <c r="AH544" s="149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</row>
    <row r="545" spans="2:49" s="64" customFormat="1">
      <c r="B545" s="63"/>
      <c r="C545" s="147"/>
      <c r="D545" s="186"/>
      <c r="E545" s="167"/>
      <c r="F545" s="167"/>
      <c r="G545" s="167"/>
      <c r="H545" s="715"/>
      <c r="I545" s="167"/>
      <c r="J545" s="715"/>
      <c r="K545" s="167"/>
      <c r="L545" s="167"/>
      <c r="M545" s="715"/>
      <c r="N545" s="167"/>
      <c r="O545" s="715"/>
      <c r="P545" s="167"/>
      <c r="Q545" s="167"/>
      <c r="R545" s="167"/>
      <c r="S545" s="167"/>
      <c r="T545" s="167"/>
      <c r="U545" s="167"/>
      <c r="V545" s="715"/>
      <c r="W545" s="167"/>
      <c r="X545" s="715"/>
      <c r="Y545" s="715"/>
      <c r="Z545" s="167"/>
      <c r="AA545" s="167"/>
      <c r="AB545" s="167"/>
      <c r="AC545" s="789"/>
      <c r="AD545" s="789"/>
      <c r="AE545" s="149"/>
      <c r="AF545" s="149"/>
      <c r="AG545" s="789"/>
      <c r="AH545" s="149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</row>
    <row r="546" spans="2:49" s="64" customFormat="1">
      <c r="B546" s="63"/>
      <c r="C546" s="147"/>
      <c r="D546" s="186"/>
      <c r="E546" s="167"/>
      <c r="F546" s="167"/>
      <c r="G546" s="167"/>
      <c r="H546" s="715"/>
      <c r="I546" s="167"/>
      <c r="J546" s="715"/>
      <c r="K546" s="167"/>
      <c r="L546" s="167"/>
      <c r="M546" s="715"/>
      <c r="N546" s="167"/>
      <c r="O546" s="715"/>
      <c r="P546" s="167"/>
      <c r="Q546" s="167"/>
      <c r="R546" s="167"/>
      <c r="S546" s="167"/>
      <c r="T546" s="167"/>
      <c r="U546" s="167"/>
      <c r="V546" s="715"/>
      <c r="W546" s="167"/>
      <c r="X546" s="715"/>
      <c r="Y546" s="715"/>
      <c r="Z546" s="167"/>
      <c r="AA546" s="167"/>
      <c r="AB546" s="167"/>
      <c r="AC546" s="789"/>
      <c r="AD546" s="789"/>
      <c r="AE546" s="149"/>
      <c r="AF546" s="149"/>
      <c r="AG546" s="789"/>
      <c r="AH546" s="149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</row>
    <row r="547" spans="2:49" s="64" customFormat="1">
      <c r="B547" s="63"/>
      <c r="C547" s="147"/>
      <c r="D547" s="186"/>
      <c r="E547" s="167"/>
      <c r="F547" s="167"/>
      <c r="G547" s="167"/>
      <c r="H547" s="715"/>
      <c r="I547" s="167"/>
      <c r="J547" s="715"/>
      <c r="K547" s="167"/>
      <c r="L547" s="167"/>
      <c r="M547" s="715"/>
      <c r="N547" s="167"/>
      <c r="O547" s="715"/>
      <c r="P547" s="167"/>
      <c r="Q547" s="167"/>
      <c r="R547" s="167"/>
      <c r="S547" s="167"/>
      <c r="T547" s="167"/>
      <c r="U547" s="167"/>
      <c r="V547" s="715"/>
      <c r="W547" s="167"/>
      <c r="X547" s="715"/>
      <c r="Y547" s="715"/>
      <c r="Z547" s="167"/>
      <c r="AA547" s="167"/>
      <c r="AB547" s="167"/>
      <c r="AC547" s="789"/>
      <c r="AD547" s="789"/>
      <c r="AE547" s="149"/>
      <c r="AF547" s="149"/>
      <c r="AG547" s="789"/>
      <c r="AH547" s="149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</row>
    <row r="548" spans="2:49" s="64" customFormat="1">
      <c r="B548" s="63"/>
      <c r="C548" s="147"/>
      <c r="D548" s="186"/>
      <c r="E548" s="167"/>
      <c r="F548" s="167"/>
      <c r="G548" s="167"/>
      <c r="H548" s="715"/>
      <c r="I548" s="167"/>
      <c r="J548" s="715"/>
      <c r="K548" s="167"/>
      <c r="L548" s="167"/>
      <c r="M548" s="715"/>
      <c r="N548" s="167"/>
      <c r="O548" s="715"/>
      <c r="P548" s="167"/>
      <c r="Q548" s="167"/>
      <c r="R548" s="167"/>
      <c r="S548" s="167"/>
      <c r="T548" s="167"/>
      <c r="U548" s="167"/>
      <c r="V548" s="715"/>
      <c r="W548" s="167"/>
      <c r="X548" s="715"/>
      <c r="Y548" s="715"/>
      <c r="Z548" s="167"/>
      <c r="AA548" s="167"/>
      <c r="AB548" s="167"/>
      <c r="AC548" s="789"/>
      <c r="AD548" s="789"/>
      <c r="AE548" s="149"/>
      <c r="AF548" s="149"/>
      <c r="AG548" s="789"/>
      <c r="AH548" s="149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</row>
    <row r="549" spans="2:49" s="64" customFormat="1">
      <c r="B549" s="63"/>
      <c r="C549" s="147"/>
      <c r="D549" s="186"/>
      <c r="E549" s="167"/>
      <c r="F549" s="167"/>
      <c r="G549" s="167"/>
      <c r="H549" s="715"/>
      <c r="I549" s="167"/>
      <c r="J549" s="715"/>
      <c r="K549" s="167"/>
      <c r="L549" s="167"/>
      <c r="M549" s="715"/>
      <c r="N549" s="167"/>
      <c r="O549" s="715"/>
      <c r="P549" s="167"/>
      <c r="Q549" s="167"/>
      <c r="R549" s="167"/>
      <c r="S549" s="167"/>
      <c r="T549" s="167"/>
      <c r="U549" s="167"/>
      <c r="V549" s="715"/>
      <c r="W549" s="167"/>
      <c r="X549" s="715"/>
      <c r="Y549" s="715"/>
      <c r="Z549" s="167"/>
      <c r="AA549" s="167"/>
      <c r="AB549" s="167"/>
      <c r="AC549" s="789"/>
      <c r="AD549" s="789"/>
      <c r="AE549" s="149"/>
      <c r="AF549" s="149"/>
      <c r="AG549" s="789"/>
      <c r="AH549" s="149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</row>
    <row r="550" spans="2:49" s="64" customFormat="1">
      <c r="B550" s="63"/>
      <c r="C550" s="147"/>
      <c r="D550" s="186"/>
      <c r="E550" s="167"/>
      <c r="F550" s="167"/>
      <c r="G550" s="167"/>
      <c r="H550" s="715"/>
      <c r="I550" s="167"/>
      <c r="J550" s="715"/>
      <c r="K550" s="167"/>
      <c r="L550" s="167"/>
      <c r="M550" s="715"/>
      <c r="N550" s="167"/>
      <c r="O550" s="715"/>
      <c r="P550" s="167"/>
      <c r="Q550" s="167"/>
      <c r="R550" s="167"/>
      <c r="S550" s="167"/>
      <c r="T550" s="167"/>
      <c r="U550" s="167"/>
      <c r="V550" s="715"/>
      <c r="W550" s="167"/>
      <c r="X550" s="715"/>
      <c r="Y550" s="715"/>
      <c r="Z550" s="167"/>
      <c r="AA550" s="167"/>
      <c r="AB550" s="167"/>
      <c r="AC550" s="789"/>
      <c r="AD550" s="789"/>
      <c r="AE550" s="149"/>
      <c r="AF550" s="149"/>
      <c r="AG550" s="789"/>
      <c r="AH550" s="149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</row>
    <row r="551" spans="2:49" s="64" customFormat="1">
      <c r="B551" s="63"/>
      <c r="C551" s="147"/>
      <c r="D551" s="186"/>
      <c r="E551" s="167"/>
      <c r="F551" s="167"/>
      <c r="G551" s="167"/>
      <c r="H551" s="715"/>
      <c r="I551" s="167"/>
      <c r="J551" s="715"/>
      <c r="K551" s="167"/>
      <c r="L551" s="167"/>
      <c r="M551" s="715"/>
      <c r="N551" s="167"/>
      <c r="O551" s="715"/>
      <c r="P551" s="167"/>
      <c r="Q551" s="167"/>
      <c r="R551" s="167"/>
      <c r="S551" s="167"/>
      <c r="T551" s="167"/>
      <c r="U551" s="167"/>
      <c r="V551" s="715"/>
      <c r="W551" s="167"/>
      <c r="X551" s="715"/>
      <c r="Y551" s="715"/>
      <c r="Z551" s="167"/>
      <c r="AA551" s="167"/>
      <c r="AB551" s="167"/>
      <c r="AC551" s="789"/>
      <c r="AD551" s="789"/>
      <c r="AE551" s="149"/>
      <c r="AF551" s="149"/>
      <c r="AG551" s="789"/>
      <c r="AH551" s="149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</row>
    <row r="552" spans="2:49" s="64" customFormat="1">
      <c r="B552" s="63"/>
      <c r="C552" s="147"/>
      <c r="D552" s="186"/>
      <c r="E552" s="167"/>
      <c r="F552" s="167"/>
      <c r="G552" s="167"/>
      <c r="H552" s="715"/>
      <c r="I552" s="167"/>
      <c r="J552" s="715"/>
      <c r="K552" s="167"/>
      <c r="L552" s="167"/>
      <c r="M552" s="715"/>
      <c r="N552" s="167"/>
      <c r="O552" s="715"/>
      <c r="P552" s="167"/>
      <c r="Q552" s="167"/>
      <c r="R552" s="167"/>
      <c r="S552" s="167"/>
      <c r="T552" s="167"/>
      <c r="U552" s="167"/>
      <c r="V552" s="715"/>
      <c r="W552" s="167"/>
      <c r="X552" s="715"/>
      <c r="Y552" s="715"/>
      <c r="Z552" s="167"/>
      <c r="AA552" s="167"/>
      <c r="AB552" s="167"/>
      <c r="AC552" s="789"/>
      <c r="AD552" s="789"/>
      <c r="AE552" s="149"/>
      <c r="AF552" s="149"/>
      <c r="AG552" s="789"/>
      <c r="AH552" s="149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</row>
    <row r="553" spans="2:49" s="64" customFormat="1">
      <c r="B553" s="63"/>
      <c r="C553" s="147"/>
      <c r="D553" s="186"/>
      <c r="E553" s="167"/>
      <c r="F553" s="167"/>
      <c r="G553" s="167"/>
      <c r="H553" s="715"/>
      <c r="I553" s="167"/>
      <c r="J553" s="715"/>
      <c r="K553" s="167"/>
      <c r="L553" s="167"/>
      <c r="M553" s="715"/>
      <c r="N553" s="167"/>
      <c r="O553" s="715"/>
      <c r="P553" s="167"/>
      <c r="Q553" s="167"/>
      <c r="R553" s="167"/>
      <c r="S553" s="167"/>
      <c r="T553" s="167"/>
      <c r="U553" s="167"/>
      <c r="V553" s="715"/>
      <c r="W553" s="167"/>
      <c r="X553" s="715"/>
      <c r="Y553" s="715"/>
      <c r="Z553" s="167"/>
      <c r="AA553" s="167"/>
      <c r="AB553" s="167"/>
      <c r="AC553" s="789"/>
      <c r="AD553" s="789"/>
      <c r="AE553" s="149"/>
      <c r="AF553" s="149"/>
      <c r="AG553" s="789"/>
      <c r="AH553" s="149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</row>
    <row r="554" spans="2:49" s="64" customFormat="1">
      <c r="B554" s="63"/>
      <c r="C554" s="147"/>
      <c r="D554" s="186"/>
      <c r="E554" s="167"/>
      <c r="F554" s="167"/>
      <c r="G554" s="167"/>
      <c r="H554" s="715"/>
      <c r="I554" s="167"/>
      <c r="J554" s="715"/>
      <c r="K554" s="167"/>
      <c r="L554" s="167"/>
      <c r="M554" s="715"/>
      <c r="N554" s="167"/>
      <c r="O554" s="715"/>
      <c r="P554" s="167"/>
      <c r="Q554" s="167"/>
      <c r="R554" s="167"/>
      <c r="S554" s="167"/>
      <c r="T554" s="167"/>
      <c r="U554" s="167"/>
      <c r="V554" s="715"/>
      <c r="W554" s="167"/>
      <c r="X554" s="715"/>
      <c r="Y554" s="715"/>
      <c r="Z554" s="167"/>
      <c r="AA554" s="167"/>
      <c r="AB554" s="167"/>
      <c r="AC554" s="789"/>
      <c r="AD554" s="789"/>
      <c r="AE554" s="149"/>
      <c r="AF554" s="149"/>
      <c r="AG554" s="789"/>
      <c r="AH554" s="149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</row>
    <row r="555" spans="2:49" s="64" customFormat="1">
      <c r="B555" s="63"/>
      <c r="C555" s="147"/>
      <c r="D555" s="186"/>
      <c r="E555" s="167"/>
      <c r="F555" s="167"/>
      <c r="G555" s="167"/>
      <c r="H555" s="715"/>
      <c r="I555" s="167"/>
      <c r="J555" s="715"/>
      <c r="K555" s="167"/>
      <c r="L555" s="167"/>
      <c r="M555" s="715"/>
      <c r="N555" s="167"/>
      <c r="O555" s="715"/>
      <c r="P555" s="167"/>
      <c r="Q555" s="167"/>
      <c r="R555" s="167"/>
      <c r="S555" s="167"/>
      <c r="T555" s="167"/>
      <c r="U555" s="167"/>
      <c r="V555" s="715"/>
      <c r="W555" s="167"/>
      <c r="X555" s="715"/>
      <c r="Y555" s="715"/>
      <c r="Z555" s="167"/>
      <c r="AA555" s="167"/>
      <c r="AB555" s="167"/>
      <c r="AC555" s="789"/>
      <c r="AD555" s="789"/>
      <c r="AE555" s="149"/>
      <c r="AF555" s="149"/>
      <c r="AG555" s="789"/>
      <c r="AH555" s="149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</row>
    <row r="556" spans="2:49" s="64" customFormat="1">
      <c r="B556" s="63"/>
      <c r="C556" s="147"/>
      <c r="D556" s="186"/>
      <c r="E556" s="167"/>
      <c r="F556" s="167"/>
      <c r="G556" s="167"/>
      <c r="H556" s="715"/>
      <c r="I556" s="167"/>
      <c r="J556" s="715"/>
      <c r="K556" s="167"/>
      <c r="L556" s="167"/>
      <c r="M556" s="715"/>
      <c r="N556" s="167"/>
      <c r="O556" s="715"/>
      <c r="P556" s="167"/>
      <c r="Q556" s="167"/>
      <c r="R556" s="167"/>
      <c r="S556" s="167"/>
      <c r="T556" s="167"/>
      <c r="U556" s="167"/>
      <c r="V556" s="715"/>
      <c r="W556" s="167"/>
      <c r="X556" s="715"/>
      <c r="Y556" s="715"/>
      <c r="Z556" s="167"/>
      <c r="AA556" s="167"/>
      <c r="AB556" s="167"/>
      <c r="AC556" s="789"/>
      <c r="AD556" s="789"/>
      <c r="AE556" s="149"/>
      <c r="AF556" s="149"/>
      <c r="AG556" s="789"/>
      <c r="AH556" s="149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</row>
    <row r="557" spans="2:49" s="64" customFormat="1">
      <c r="B557" s="63"/>
      <c r="C557" s="147"/>
      <c r="D557" s="186"/>
      <c r="E557" s="167"/>
      <c r="F557" s="167"/>
      <c r="G557" s="167"/>
      <c r="H557" s="715"/>
      <c r="I557" s="167"/>
      <c r="J557" s="715"/>
      <c r="K557" s="167"/>
      <c r="L557" s="167"/>
      <c r="M557" s="715"/>
      <c r="N557" s="167"/>
      <c r="O557" s="715"/>
      <c r="P557" s="167"/>
      <c r="Q557" s="167"/>
      <c r="R557" s="167"/>
      <c r="S557" s="167"/>
      <c r="T557" s="167"/>
      <c r="U557" s="167"/>
      <c r="V557" s="715"/>
      <c r="W557" s="167"/>
      <c r="X557" s="715"/>
      <c r="Y557" s="715"/>
      <c r="Z557" s="167"/>
      <c r="AA557" s="167"/>
      <c r="AB557" s="167"/>
      <c r="AC557" s="789"/>
      <c r="AD557" s="789"/>
      <c r="AE557" s="149"/>
      <c r="AF557" s="149"/>
      <c r="AG557" s="789"/>
      <c r="AH557" s="149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</row>
    <row r="558" spans="2:49" s="64" customFormat="1">
      <c r="B558" s="63"/>
      <c r="C558" s="147"/>
      <c r="D558" s="186"/>
      <c r="E558" s="167"/>
      <c r="F558" s="167"/>
      <c r="G558" s="167"/>
      <c r="H558" s="715"/>
      <c r="I558" s="167"/>
      <c r="J558" s="715"/>
      <c r="K558" s="167"/>
      <c r="L558" s="167"/>
      <c r="M558" s="715"/>
      <c r="N558" s="167"/>
      <c r="O558" s="715"/>
      <c r="P558" s="167"/>
      <c r="Q558" s="167"/>
      <c r="R558" s="167"/>
      <c r="S558" s="167"/>
      <c r="T558" s="167"/>
      <c r="U558" s="167"/>
      <c r="V558" s="715"/>
      <c r="W558" s="167"/>
      <c r="X558" s="715"/>
      <c r="Y558" s="715"/>
      <c r="Z558" s="167"/>
      <c r="AA558" s="167"/>
      <c r="AB558" s="167"/>
      <c r="AC558" s="789"/>
      <c r="AD558" s="789"/>
      <c r="AE558" s="149"/>
      <c r="AF558" s="149"/>
      <c r="AG558" s="789"/>
      <c r="AH558" s="149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</row>
    <row r="559" spans="2:49" s="64" customFormat="1">
      <c r="B559" s="63"/>
      <c r="C559" s="147"/>
      <c r="D559" s="186"/>
      <c r="E559" s="167"/>
      <c r="F559" s="167"/>
      <c r="G559" s="167"/>
      <c r="H559" s="715"/>
      <c r="I559" s="167"/>
      <c r="J559" s="715"/>
      <c r="K559" s="167"/>
      <c r="L559" s="167"/>
      <c r="M559" s="715"/>
      <c r="N559" s="167"/>
      <c r="O559" s="715"/>
      <c r="P559" s="167"/>
      <c r="Q559" s="167"/>
      <c r="R559" s="167"/>
      <c r="S559" s="167"/>
      <c r="T559" s="167"/>
      <c r="U559" s="167"/>
      <c r="V559" s="715"/>
      <c r="W559" s="167"/>
      <c r="X559" s="715"/>
      <c r="Y559" s="715"/>
      <c r="Z559" s="167"/>
      <c r="AA559" s="167"/>
      <c r="AB559" s="167"/>
      <c r="AC559" s="789"/>
      <c r="AD559" s="789"/>
      <c r="AE559" s="149"/>
      <c r="AF559" s="149"/>
      <c r="AG559" s="789"/>
      <c r="AH559" s="149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</row>
    <row r="560" spans="2:49" s="64" customFormat="1">
      <c r="B560" s="63"/>
      <c r="C560" s="147"/>
      <c r="D560" s="186"/>
      <c r="E560" s="167"/>
      <c r="F560" s="167"/>
      <c r="G560" s="167"/>
      <c r="H560" s="715"/>
      <c r="I560" s="167"/>
      <c r="J560" s="715"/>
      <c r="K560" s="167"/>
      <c r="L560" s="167"/>
      <c r="M560" s="715"/>
      <c r="N560" s="167"/>
      <c r="O560" s="715"/>
      <c r="P560" s="167"/>
      <c r="Q560" s="167"/>
      <c r="R560" s="167"/>
      <c r="S560" s="167"/>
      <c r="T560" s="167"/>
      <c r="U560" s="167"/>
      <c r="V560" s="715"/>
      <c r="W560" s="167"/>
      <c r="X560" s="715"/>
      <c r="Y560" s="715"/>
      <c r="Z560" s="167"/>
      <c r="AA560" s="167"/>
      <c r="AB560" s="167"/>
      <c r="AC560" s="164"/>
      <c r="AD560" s="164"/>
      <c r="AE560" s="149"/>
      <c r="AF560" s="149"/>
      <c r="AG560" s="151"/>
      <c r="AH560" s="149"/>
      <c r="AI560" s="152"/>
      <c r="AJ560" s="152"/>
      <c r="AK560" s="152"/>
      <c r="AL560" s="152"/>
      <c r="AM560" s="152"/>
      <c r="AN560" s="152"/>
      <c r="AO560" s="165"/>
      <c r="AP560" s="152"/>
      <c r="AQ560" s="165"/>
      <c r="AR560" s="165"/>
      <c r="AS560" s="152"/>
      <c r="AT560" s="152"/>
      <c r="AU560" s="152"/>
      <c r="AV560" s="152"/>
      <c r="AW560" s="152"/>
    </row>
    <row r="561" spans="2:49" s="64" customFormat="1">
      <c r="B561" s="63"/>
      <c r="C561" s="147"/>
      <c r="D561" s="186"/>
      <c r="E561" s="167"/>
      <c r="F561" s="167"/>
      <c r="G561" s="167"/>
      <c r="H561" s="715"/>
      <c r="I561" s="167"/>
      <c r="J561" s="715"/>
      <c r="K561" s="167"/>
      <c r="L561" s="167"/>
      <c r="M561" s="715"/>
      <c r="N561" s="167"/>
      <c r="O561" s="715"/>
      <c r="P561" s="167"/>
      <c r="Q561" s="167"/>
      <c r="R561" s="167"/>
      <c r="S561" s="167"/>
      <c r="T561" s="167"/>
      <c r="U561" s="167"/>
      <c r="V561" s="715"/>
      <c r="W561" s="167"/>
      <c r="X561" s="715"/>
      <c r="Y561" s="715"/>
      <c r="Z561" s="167"/>
      <c r="AA561" s="167"/>
      <c r="AB561" s="167"/>
      <c r="AC561" s="164"/>
      <c r="AD561" s="164"/>
      <c r="AE561" s="149"/>
      <c r="AF561" s="149"/>
      <c r="AG561" s="151"/>
      <c r="AH561" s="149"/>
      <c r="AI561" s="152"/>
      <c r="AJ561" s="152"/>
      <c r="AK561" s="152"/>
      <c r="AL561" s="152"/>
      <c r="AM561" s="152"/>
      <c r="AN561" s="152"/>
      <c r="AO561" s="165"/>
      <c r="AP561" s="152"/>
      <c r="AQ561" s="165"/>
      <c r="AR561" s="165"/>
      <c r="AS561" s="152"/>
      <c r="AT561" s="152"/>
      <c r="AU561" s="152"/>
      <c r="AV561" s="152"/>
      <c r="AW561" s="152"/>
    </row>
    <row r="562" spans="2:49" s="64" customFormat="1">
      <c r="B562" s="63"/>
      <c r="C562" s="147"/>
      <c r="D562" s="186"/>
      <c r="E562" s="167"/>
      <c r="F562" s="167"/>
      <c r="G562" s="167"/>
      <c r="H562" s="715"/>
      <c r="I562" s="167"/>
      <c r="J562" s="715"/>
      <c r="K562" s="167"/>
      <c r="L562" s="167"/>
      <c r="M562" s="715"/>
      <c r="N562" s="167"/>
      <c r="O562" s="715"/>
      <c r="P562" s="167"/>
      <c r="Q562" s="167"/>
      <c r="R562" s="167"/>
      <c r="S562" s="167"/>
      <c r="T562" s="167"/>
      <c r="U562" s="167"/>
      <c r="V562" s="715"/>
      <c r="W562" s="167"/>
      <c r="X562" s="715"/>
      <c r="Y562" s="715"/>
      <c r="Z562" s="167"/>
      <c r="AA562" s="167"/>
      <c r="AB562" s="167"/>
      <c r="AC562" s="164"/>
      <c r="AD562" s="164"/>
      <c r="AE562" s="149"/>
      <c r="AF562" s="149"/>
      <c r="AG562" s="151"/>
      <c r="AH562" s="149"/>
      <c r="AI562" s="152"/>
      <c r="AJ562" s="152"/>
      <c r="AK562" s="152"/>
      <c r="AL562" s="152"/>
      <c r="AM562" s="152"/>
      <c r="AN562" s="152"/>
      <c r="AO562" s="165"/>
      <c r="AP562" s="152"/>
      <c r="AQ562" s="165"/>
      <c r="AR562" s="165"/>
      <c r="AS562" s="152"/>
      <c r="AT562" s="152"/>
      <c r="AU562" s="152"/>
      <c r="AV562" s="152"/>
      <c r="AW562" s="152"/>
    </row>
    <row r="563" spans="2:49" s="64" customFormat="1">
      <c r="B563" s="63"/>
      <c r="C563" s="147"/>
      <c r="D563" s="186"/>
      <c r="E563" s="167"/>
      <c r="F563" s="167"/>
      <c r="G563" s="167"/>
      <c r="H563" s="715"/>
      <c r="I563" s="167"/>
      <c r="J563" s="715"/>
      <c r="K563" s="167"/>
      <c r="L563" s="167"/>
      <c r="M563" s="715"/>
      <c r="N563" s="167"/>
      <c r="O563" s="715"/>
      <c r="P563" s="167"/>
      <c r="Q563" s="167"/>
      <c r="R563" s="167"/>
      <c r="S563" s="167"/>
      <c r="T563" s="167"/>
      <c r="U563" s="167"/>
      <c r="V563" s="715"/>
      <c r="W563" s="167"/>
      <c r="X563" s="715"/>
      <c r="Y563" s="715"/>
      <c r="Z563" s="167"/>
      <c r="AA563" s="167"/>
      <c r="AB563" s="167"/>
      <c r="AC563" s="164"/>
      <c r="AD563" s="164"/>
      <c r="AE563" s="149"/>
      <c r="AF563" s="149"/>
      <c r="AG563" s="151"/>
      <c r="AH563" s="149"/>
      <c r="AI563" s="152"/>
      <c r="AJ563" s="152"/>
      <c r="AK563" s="152"/>
      <c r="AL563" s="152"/>
      <c r="AM563" s="152"/>
      <c r="AN563" s="152"/>
      <c r="AO563" s="165"/>
      <c r="AP563" s="152"/>
      <c r="AQ563" s="165"/>
      <c r="AR563" s="165"/>
      <c r="AS563" s="152"/>
      <c r="AT563" s="152"/>
      <c r="AU563" s="152"/>
      <c r="AV563" s="152"/>
      <c r="AW563" s="152"/>
    </row>
    <row r="564" spans="2:49" s="64" customFormat="1">
      <c r="B564" s="63"/>
      <c r="C564" s="147"/>
      <c r="D564" s="186"/>
      <c r="E564" s="167"/>
      <c r="F564" s="167"/>
      <c r="G564" s="167"/>
      <c r="H564" s="715"/>
      <c r="I564" s="167"/>
      <c r="J564" s="715"/>
      <c r="K564" s="167"/>
      <c r="L564" s="167"/>
      <c r="M564" s="715"/>
      <c r="N564" s="167"/>
      <c r="O564" s="715"/>
      <c r="P564" s="167"/>
      <c r="Q564" s="167"/>
      <c r="R564" s="167"/>
      <c r="S564" s="167"/>
      <c r="T564" s="167"/>
      <c r="U564" s="167"/>
      <c r="V564" s="715"/>
      <c r="W564" s="167"/>
      <c r="X564" s="715"/>
      <c r="Y564" s="715"/>
      <c r="Z564" s="167"/>
      <c r="AA564" s="167"/>
      <c r="AB564" s="167"/>
      <c r="AC564" s="164"/>
      <c r="AD564" s="164"/>
      <c r="AE564" s="149"/>
      <c r="AF564" s="149"/>
      <c r="AG564" s="151"/>
      <c r="AH564" s="149"/>
      <c r="AI564" s="152"/>
      <c r="AJ564" s="152"/>
      <c r="AK564" s="152"/>
      <c r="AL564" s="152"/>
      <c r="AM564" s="152"/>
      <c r="AN564" s="152"/>
      <c r="AO564" s="165"/>
      <c r="AP564" s="152"/>
      <c r="AQ564" s="165"/>
      <c r="AR564" s="165"/>
      <c r="AS564" s="152"/>
      <c r="AT564" s="152"/>
      <c r="AU564" s="152"/>
      <c r="AV564" s="152"/>
      <c r="AW564" s="152"/>
    </row>
    <row r="565" spans="2:49" s="64" customFormat="1">
      <c r="B565" s="63"/>
      <c r="C565" s="147"/>
      <c r="D565" s="186"/>
      <c r="E565" s="167"/>
      <c r="F565" s="167"/>
      <c r="G565" s="167"/>
      <c r="H565" s="715"/>
      <c r="I565" s="167"/>
      <c r="J565" s="715"/>
      <c r="K565" s="167"/>
      <c r="L565" s="167"/>
      <c r="M565" s="715"/>
      <c r="N565" s="167"/>
      <c r="O565" s="715"/>
      <c r="P565" s="167"/>
      <c r="Q565" s="167"/>
      <c r="R565" s="167"/>
      <c r="S565" s="167"/>
      <c r="T565" s="167"/>
      <c r="U565" s="167"/>
      <c r="V565" s="715"/>
      <c r="W565" s="167"/>
      <c r="X565" s="715"/>
      <c r="Y565" s="715"/>
      <c r="Z565" s="167"/>
      <c r="AA565" s="167"/>
      <c r="AB565" s="167"/>
      <c r="AC565" s="164"/>
      <c r="AD565" s="164"/>
      <c r="AE565" s="149"/>
      <c r="AF565" s="149"/>
      <c r="AG565" s="151"/>
      <c r="AH565" s="149"/>
      <c r="AI565" s="152"/>
      <c r="AJ565" s="152"/>
      <c r="AK565" s="152"/>
      <c r="AL565" s="152"/>
      <c r="AM565" s="152"/>
      <c r="AN565" s="152"/>
      <c r="AO565" s="165"/>
      <c r="AP565" s="152"/>
      <c r="AQ565" s="165"/>
      <c r="AR565" s="165"/>
      <c r="AS565" s="152"/>
      <c r="AT565" s="152"/>
      <c r="AU565" s="152"/>
      <c r="AV565" s="152"/>
      <c r="AW565" s="152"/>
    </row>
    <row r="566" spans="2:49" s="64" customFormat="1">
      <c r="B566" s="63"/>
      <c r="C566" s="147"/>
      <c r="D566" s="186"/>
      <c r="E566" s="167"/>
      <c r="F566" s="167"/>
      <c r="G566" s="167"/>
      <c r="H566" s="715"/>
      <c r="I566" s="167"/>
      <c r="J566" s="715"/>
      <c r="K566" s="167"/>
      <c r="L566" s="167"/>
      <c r="M566" s="715"/>
      <c r="N566" s="167"/>
      <c r="O566" s="715"/>
      <c r="P566" s="167"/>
      <c r="Q566" s="167"/>
      <c r="R566" s="167"/>
      <c r="S566" s="167"/>
      <c r="T566" s="167"/>
      <c r="U566" s="167"/>
      <c r="V566" s="715"/>
      <c r="W566" s="167"/>
      <c r="X566" s="715"/>
      <c r="Y566" s="715"/>
      <c r="Z566" s="167"/>
      <c r="AA566" s="167"/>
      <c r="AB566" s="167"/>
      <c r="AC566" s="164"/>
      <c r="AD566" s="164"/>
      <c r="AE566" s="149"/>
      <c r="AF566" s="149"/>
      <c r="AG566" s="151"/>
      <c r="AH566" s="149"/>
      <c r="AI566" s="152"/>
      <c r="AJ566" s="152"/>
      <c r="AK566" s="152"/>
      <c r="AL566" s="152"/>
      <c r="AM566" s="152"/>
      <c r="AN566" s="152"/>
      <c r="AO566" s="165"/>
      <c r="AP566" s="152"/>
      <c r="AQ566" s="165"/>
      <c r="AR566" s="165"/>
      <c r="AS566" s="152"/>
      <c r="AT566" s="152"/>
      <c r="AU566" s="152"/>
      <c r="AV566" s="152"/>
      <c r="AW566" s="152"/>
    </row>
    <row r="567" spans="2:49" s="64" customFormat="1">
      <c r="B567" s="95"/>
      <c r="C567" s="148"/>
      <c r="D567" s="190"/>
      <c r="E567" s="175"/>
      <c r="F567" s="175"/>
      <c r="G567" s="175"/>
      <c r="H567" s="790"/>
      <c r="I567" s="175"/>
      <c r="J567" s="790"/>
      <c r="K567" s="175"/>
      <c r="L567" s="175"/>
      <c r="M567" s="790"/>
      <c r="N567" s="175"/>
      <c r="O567" s="790"/>
      <c r="P567" s="175"/>
      <c r="Q567" s="175"/>
      <c r="R567" s="175"/>
      <c r="S567" s="167"/>
      <c r="T567" s="167"/>
      <c r="U567" s="175"/>
      <c r="V567" s="791"/>
      <c r="W567" s="175"/>
      <c r="X567" s="791"/>
      <c r="Y567" s="791"/>
      <c r="Z567" s="175"/>
      <c r="AA567" s="175"/>
      <c r="AB567" s="175"/>
      <c r="AC567" s="150"/>
      <c r="AD567" s="150"/>
      <c r="AE567" s="166"/>
      <c r="AF567" s="166"/>
      <c r="AG567" s="151"/>
      <c r="AH567" s="149"/>
      <c r="AI567" s="152"/>
      <c r="AJ567" s="152"/>
      <c r="AK567" s="152"/>
      <c r="AL567" s="152"/>
      <c r="AM567" s="152"/>
      <c r="AN567" s="152"/>
      <c r="AO567" s="165"/>
      <c r="AP567" s="152"/>
      <c r="AQ567" s="165"/>
      <c r="AR567" s="165"/>
      <c r="AS567" s="152"/>
      <c r="AT567" s="152"/>
      <c r="AU567" s="152"/>
      <c r="AV567" s="152"/>
      <c r="AW567" s="152"/>
    </row>
    <row r="568" spans="2:49" s="64" customFormat="1">
      <c r="B568" s="95"/>
      <c r="C568" s="148"/>
      <c r="D568" s="190"/>
      <c r="E568" s="175"/>
      <c r="F568" s="175"/>
      <c r="G568" s="175"/>
      <c r="H568" s="790"/>
      <c r="I568" s="175"/>
      <c r="J568" s="790"/>
      <c r="K568" s="175"/>
      <c r="L568" s="175"/>
      <c r="M568" s="790"/>
      <c r="N568" s="175"/>
      <c r="O568" s="790"/>
      <c r="P568" s="175"/>
      <c r="Q568" s="175"/>
      <c r="R568" s="175"/>
      <c r="S568" s="167"/>
      <c r="T568" s="167"/>
      <c r="U568" s="175"/>
      <c r="V568" s="791"/>
      <c r="W568" s="175"/>
      <c r="X568" s="791"/>
      <c r="Y568" s="791"/>
      <c r="Z568" s="175"/>
      <c r="AA568" s="175"/>
      <c r="AB568" s="175"/>
      <c r="AC568" s="150"/>
      <c r="AD568" s="150"/>
      <c r="AE568" s="166"/>
      <c r="AF568" s="166"/>
      <c r="AG568" s="151"/>
      <c r="AH568" s="149"/>
      <c r="AI568" s="152"/>
      <c r="AJ568" s="152"/>
      <c r="AK568" s="152"/>
      <c r="AL568" s="152"/>
      <c r="AM568" s="152"/>
      <c r="AN568" s="152"/>
      <c r="AO568" s="165"/>
      <c r="AP568" s="152"/>
      <c r="AQ568" s="165"/>
      <c r="AR568" s="165"/>
      <c r="AS568" s="152"/>
      <c r="AT568" s="152"/>
      <c r="AU568" s="152"/>
      <c r="AV568" s="152"/>
      <c r="AW568" s="152"/>
    </row>
    <row r="569" spans="2:49" s="64" customFormat="1">
      <c r="B569" s="95"/>
      <c r="C569" s="148"/>
      <c r="D569" s="190"/>
      <c r="E569" s="175"/>
      <c r="F569" s="175"/>
      <c r="G569" s="175"/>
      <c r="H569" s="790"/>
      <c r="I569" s="175"/>
      <c r="J569" s="790"/>
      <c r="K569" s="175"/>
      <c r="L569" s="175"/>
      <c r="M569" s="790"/>
      <c r="N569" s="175"/>
      <c r="O569" s="790"/>
      <c r="P569" s="175"/>
      <c r="Q569" s="175"/>
      <c r="R569" s="175"/>
      <c r="S569" s="167"/>
      <c r="T569" s="167"/>
      <c r="U569" s="175"/>
      <c r="V569" s="791"/>
      <c r="W569" s="175"/>
      <c r="X569" s="791"/>
      <c r="Y569" s="791"/>
      <c r="Z569" s="175"/>
      <c r="AA569" s="175"/>
      <c r="AB569" s="175"/>
      <c r="AC569" s="150"/>
      <c r="AD569" s="150"/>
      <c r="AE569" s="166"/>
      <c r="AF569" s="166"/>
      <c r="AG569" s="151"/>
      <c r="AH569" s="149"/>
      <c r="AI569" s="152"/>
      <c r="AJ569" s="152"/>
      <c r="AK569" s="152"/>
      <c r="AL569" s="152"/>
      <c r="AM569" s="152"/>
      <c r="AN569" s="152"/>
      <c r="AO569" s="165"/>
      <c r="AP569" s="152"/>
      <c r="AQ569" s="165"/>
      <c r="AR569" s="165"/>
      <c r="AS569" s="152"/>
      <c r="AT569" s="152"/>
      <c r="AU569" s="152"/>
      <c r="AV569" s="152"/>
      <c r="AW569" s="152"/>
    </row>
    <row r="570" spans="2:49" s="64" customFormat="1">
      <c r="B570" s="95"/>
      <c r="C570" s="148"/>
      <c r="D570" s="190"/>
      <c r="E570" s="175"/>
      <c r="F570" s="175"/>
      <c r="G570" s="175"/>
      <c r="H570" s="790"/>
      <c r="I570" s="175"/>
      <c r="J570" s="790"/>
      <c r="K570" s="175"/>
      <c r="L570" s="175"/>
      <c r="M570" s="790"/>
      <c r="N570" s="175"/>
      <c r="O570" s="790"/>
      <c r="P570" s="175"/>
      <c r="Q570" s="175"/>
      <c r="R570" s="175"/>
      <c r="S570" s="167"/>
      <c r="T570" s="167"/>
      <c r="U570" s="175"/>
      <c r="V570" s="791"/>
      <c r="W570" s="175"/>
      <c r="X570" s="791"/>
      <c r="Y570" s="791"/>
      <c r="Z570" s="175"/>
      <c r="AA570" s="175"/>
      <c r="AB570" s="175"/>
      <c r="AC570" s="150"/>
      <c r="AD570" s="150"/>
      <c r="AE570" s="166"/>
      <c r="AF570" s="166"/>
      <c r="AG570" s="151"/>
      <c r="AH570" s="149"/>
      <c r="AI570" s="152"/>
      <c r="AJ570" s="152"/>
      <c r="AK570" s="152"/>
      <c r="AL570" s="152"/>
      <c r="AM570" s="152"/>
      <c r="AN570" s="152"/>
      <c r="AO570" s="165"/>
      <c r="AP570" s="152"/>
      <c r="AQ570" s="165"/>
      <c r="AR570" s="165"/>
      <c r="AS570" s="152"/>
      <c r="AT570" s="152"/>
      <c r="AU570" s="152"/>
      <c r="AV570" s="152"/>
      <c r="AW570" s="152"/>
    </row>
    <row r="571" spans="2:49" s="64" customFormat="1">
      <c r="B571" s="95"/>
      <c r="C571" s="148"/>
      <c r="D571" s="190"/>
      <c r="E571" s="175"/>
      <c r="F571" s="175"/>
      <c r="G571" s="175"/>
      <c r="H571" s="790"/>
      <c r="I571" s="175"/>
      <c r="J571" s="790"/>
      <c r="K571" s="175"/>
      <c r="L571" s="175"/>
      <c r="M571" s="790"/>
      <c r="N571" s="175"/>
      <c r="O571" s="790"/>
      <c r="P571" s="175"/>
      <c r="Q571" s="175"/>
      <c r="R571" s="175"/>
      <c r="S571" s="167"/>
      <c r="T571" s="167"/>
      <c r="U571" s="175"/>
      <c r="V571" s="791"/>
      <c r="W571" s="175"/>
      <c r="X571" s="791"/>
      <c r="Y571" s="791"/>
      <c r="Z571" s="175"/>
      <c r="AA571" s="175"/>
      <c r="AB571" s="175"/>
      <c r="AC571" s="150"/>
      <c r="AD571" s="150"/>
      <c r="AE571" s="166"/>
      <c r="AF571" s="166"/>
      <c r="AG571" s="151"/>
      <c r="AH571" s="149"/>
      <c r="AI571" s="152"/>
      <c r="AJ571" s="152"/>
      <c r="AK571" s="152"/>
      <c r="AL571" s="152"/>
      <c r="AM571" s="152"/>
      <c r="AN571" s="152"/>
      <c r="AO571" s="165"/>
      <c r="AP571" s="152"/>
      <c r="AQ571" s="165"/>
      <c r="AR571" s="165"/>
      <c r="AS571" s="152"/>
      <c r="AT571" s="152"/>
      <c r="AU571" s="152"/>
      <c r="AV571" s="152"/>
      <c r="AW571" s="152"/>
    </row>
    <row r="572" spans="2:49" s="64" customFormat="1">
      <c r="B572" s="95"/>
      <c r="C572" s="148"/>
      <c r="D572" s="190"/>
      <c r="E572" s="175"/>
      <c r="F572" s="175"/>
      <c r="G572" s="175"/>
      <c r="H572" s="790"/>
      <c r="I572" s="175"/>
      <c r="J572" s="790"/>
      <c r="K572" s="175"/>
      <c r="L572" s="175"/>
      <c r="M572" s="790"/>
      <c r="N572" s="175"/>
      <c r="O572" s="790"/>
      <c r="P572" s="175"/>
      <c r="Q572" s="175"/>
      <c r="R572" s="175"/>
      <c r="S572" s="167"/>
      <c r="T572" s="167"/>
      <c r="U572" s="175"/>
      <c r="V572" s="791"/>
      <c r="W572" s="175"/>
      <c r="X572" s="791"/>
      <c r="Y572" s="791"/>
      <c r="Z572" s="175"/>
      <c r="AA572" s="175"/>
      <c r="AB572" s="175"/>
      <c r="AC572" s="150"/>
      <c r="AD572" s="150"/>
      <c r="AE572" s="166"/>
      <c r="AF572" s="166"/>
      <c r="AG572" s="151"/>
      <c r="AH572" s="149"/>
      <c r="AI572" s="152"/>
      <c r="AJ572" s="152"/>
      <c r="AK572" s="152"/>
      <c r="AL572" s="152"/>
      <c r="AM572" s="152"/>
      <c r="AN572" s="152"/>
      <c r="AO572" s="165"/>
      <c r="AP572" s="152"/>
      <c r="AQ572" s="165"/>
      <c r="AR572" s="165"/>
      <c r="AS572" s="152"/>
      <c r="AT572" s="152"/>
      <c r="AU572" s="152"/>
      <c r="AV572" s="152"/>
      <c r="AW572" s="152"/>
    </row>
    <row r="573" spans="2:49" s="64" customFormat="1">
      <c r="B573" s="95"/>
      <c r="C573" s="148"/>
      <c r="D573" s="190"/>
      <c r="E573" s="175"/>
      <c r="F573" s="175"/>
      <c r="G573" s="175"/>
      <c r="H573" s="790"/>
      <c r="I573" s="175"/>
      <c r="J573" s="790"/>
      <c r="K573" s="175"/>
      <c r="L573" s="175"/>
      <c r="M573" s="790"/>
      <c r="N573" s="175"/>
      <c r="O573" s="790"/>
      <c r="P573" s="175"/>
      <c r="Q573" s="175"/>
      <c r="R573" s="175"/>
      <c r="S573" s="167"/>
      <c r="T573" s="167"/>
      <c r="U573" s="175"/>
      <c r="V573" s="791"/>
      <c r="W573" s="175"/>
      <c r="X573" s="791"/>
      <c r="Y573" s="791"/>
      <c r="Z573" s="175"/>
      <c r="AA573" s="175"/>
      <c r="AB573" s="175"/>
      <c r="AC573" s="150"/>
      <c r="AD573" s="150"/>
      <c r="AE573" s="166"/>
      <c r="AF573" s="166"/>
      <c r="AG573" s="151"/>
      <c r="AH573" s="149"/>
      <c r="AI573" s="152"/>
      <c r="AJ573" s="152"/>
      <c r="AK573" s="152"/>
      <c r="AL573" s="152"/>
      <c r="AM573" s="152"/>
      <c r="AN573" s="152"/>
      <c r="AO573" s="165"/>
      <c r="AP573" s="152"/>
      <c r="AQ573" s="165"/>
      <c r="AR573" s="165"/>
      <c r="AS573" s="152"/>
      <c r="AT573" s="152"/>
      <c r="AU573" s="152"/>
      <c r="AV573" s="152"/>
      <c r="AW573" s="152"/>
    </row>
    <row r="574" spans="2:49" s="64" customFormat="1">
      <c r="B574" s="95"/>
      <c r="C574" s="148"/>
      <c r="D574" s="190"/>
      <c r="E574" s="175"/>
      <c r="F574" s="175"/>
      <c r="G574" s="175"/>
      <c r="H574" s="790"/>
      <c r="I574" s="175"/>
      <c r="J574" s="790"/>
      <c r="K574" s="175"/>
      <c r="L574" s="175"/>
      <c r="M574" s="790"/>
      <c r="N574" s="175"/>
      <c r="O574" s="790"/>
      <c r="P574" s="175"/>
      <c r="Q574" s="175"/>
      <c r="R574" s="175"/>
      <c r="S574" s="167"/>
      <c r="T574" s="167"/>
      <c r="U574" s="175"/>
      <c r="V574" s="791"/>
      <c r="W574" s="175"/>
      <c r="X574" s="791"/>
      <c r="Y574" s="791"/>
      <c r="Z574" s="175"/>
      <c r="AA574" s="175"/>
      <c r="AB574" s="175"/>
      <c r="AC574" s="150"/>
      <c r="AD574" s="150"/>
      <c r="AE574" s="166"/>
      <c r="AF574" s="166"/>
      <c r="AG574" s="151"/>
      <c r="AH574" s="149"/>
      <c r="AI574" s="152"/>
      <c r="AJ574" s="152"/>
      <c r="AK574" s="152"/>
      <c r="AL574" s="152"/>
      <c r="AM574" s="152"/>
      <c r="AN574" s="152"/>
      <c r="AO574" s="165"/>
      <c r="AP574" s="152"/>
      <c r="AQ574" s="165"/>
      <c r="AR574" s="165"/>
      <c r="AS574" s="152"/>
      <c r="AT574" s="152"/>
      <c r="AU574" s="152"/>
      <c r="AV574" s="152"/>
      <c r="AW574" s="152"/>
    </row>
    <row r="575" spans="2:49" s="64" customFormat="1">
      <c r="B575" s="95"/>
      <c r="C575" s="148"/>
      <c r="D575" s="190"/>
      <c r="E575" s="175"/>
      <c r="F575" s="175"/>
      <c r="G575" s="175"/>
      <c r="H575" s="790"/>
      <c r="I575" s="175"/>
      <c r="J575" s="790"/>
      <c r="K575" s="175"/>
      <c r="L575" s="175"/>
      <c r="M575" s="790"/>
      <c r="N575" s="175"/>
      <c r="O575" s="790"/>
      <c r="P575" s="175"/>
      <c r="Q575" s="175"/>
      <c r="R575" s="175"/>
      <c r="S575" s="167"/>
      <c r="T575" s="167"/>
      <c r="U575" s="175"/>
      <c r="V575" s="791"/>
      <c r="W575" s="175"/>
      <c r="X575" s="791"/>
      <c r="Y575" s="791"/>
      <c r="Z575" s="175"/>
      <c r="AA575" s="175"/>
      <c r="AB575" s="175"/>
      <c r="AC575" s="150"/>
      <c r="AD575" s="150"/>
      <c r="AE575" s="166"/>
      <c r="AF575" s="166"/>
      <c r="AG575" s="151"/>
      <c r="AH575" s="149"/>
      <c r="AI575" s="152"/>
      <c r="AJ575" s="152"/>
      <c r="AK575" s="152"/>
      <c r="AL575" s="152"/>
      <c r="AM575" s="152"/>
      <c r="AN575" s="152"/>
      <c r="AO575" s="165"/>
      <c r="AP575" s="152"/>
      <c r="AQ575" s="165"/>
      <c r="AR575" s="165"/>
      <c r="AS575" s="152"/>
      <c r="AT575" s="152"/>
      <c r="AU575" s="152"/>
      <c r="AV575" s="152"/>
      <c r="AW575" s="152"/>
    </row>
    <row r="576" spans="2:49" s="64" customFormat="1">
      <c r="B576" s="95"/>
      <c r="C576" s="148"/>
      <c r="D576" s="190"/>
      <c r="E576" s="175"/>
      <c r="F576" s="175"/>
      <c r="G576" s="175"/>
      <c r="H576" s="790"/>
      <c r="I576" s="175"/>
      <c r="J576" s="790"/>
      <c r="K576" s="175"/>
      <c r="L576" s="175"/>
      <c r="M576" s="790"/>
      <c r="N576" s="175"/>
      <c r="O576" s="790"/>
      <c r="P576" s="175"/>
      <c r="Q576" s="175"/>
      <c r="R576" s="175"/>
      <c r="S576" s="167"/>
      <c r="T576" s="167"/>
      <c r="U576" s="175"/>
      <c r="V576" s="791"/>
      <c r="W576" s="175"/>
      <c r="X576" s="791"/>
      <c r="Y576" s="791"/>
      <c r="Z576" s="175"/>
      <c r="AA576" s="175"/>
      <c r="AB576" s="175"/>
      <c r="AC576" s="150"/>
      <c r="AD576" s="150"/>
      <c r="AE576" s="166"/>
      <c r="AF576" s="166"/>
      <c r="AG576" s="151"/>
      <c r="AH576" s="149"/>
      <c r="AI576" s="152"/>
      <c r="AJ576" s="152"/>
      <c r="AK576" s="152"/>
      <c r="AL576" s="152"/>
      <c r="AM576" s="152"/>
      <c r="AN576" s="152"/>
      <c r="AO576" s="165"/>
      <c r="AP576" s="152"/>
      <c r="AQ576" s="165"/>
      <c r="AR576" s="165"/>
      <c r="AS576" s="152"/>
      <c r="AT576" s="152"/>
      <c r="AU576" s="152"/>
      <c r="AV576" s="152"/>
      <c r="AW576" s="152"/>
    </row>
    <row r="577" spans="2:49" s="64" customFormat="1">
      <c r="B577" s="95"/>
      <c r="C577" s="148"/>
      <c r="D577" s="190"/>
      <c r="E577" s="175"/>
      <c r="F577" s="175"/>
      <c r="G577" s="175"/>
      <c r="H577" s="790"/>
      <c r="I577" s="175"/>
      <c r="J577" s="790"/>
      <c r="K577" s="175"/>
      <c r="L577" s="175"/>
      <c r="M577" s="790"/>
      <c r="N577" s="175"/>
      <c r="O577" s="790"/>
      <c r="P577" s="175"/>
      <c r="Q577" s="175"/>
      <c r="R577" s="175"/>
      <c r="S577" s="167"/>
      <c r="T577" s="167"/>
      <c r="U577" s="175"/>
      <c r="V577" s="791"/>
      <c r="W577" s="175"/>
      <c r="X577" s="791"/>
      <c r="Y577" s="791"/>
      <c r="Z577" s="175"/>
      <c r="AA577" s="175"/>
      <c r="AB577" s="175"/>
      <c r="AC577" s="150"/>
      <c r="AD577" s="150"/>
      <c r="AE577" s="166"/>
      <c r="AF577" s="166"/>
      <c r="AG577" s="151"/>
      <c r="AH577" s="149"/>
      <c r="AI577" s="152"/>
      <c r="AJ577" s="152"/>
      <c r="AK577" s="152"/>
      <c r="AL577" s="152"/>
      <c r="AM577" s="152"/>
      <c r="AN577" s="152"/>
      <c r="AO577" s="165"/>
      <c r="AP577" s="152"/>
      <c r="AQ577" s="165"/>
      <c r="AR577" s="165"/>
      <c r="AS577" s="152"/>
      <c r="AT577" s="152"/>
      <c r="AU577" s="152"/>
      <c r="AV577" s="152"/>
      <c r="AW577" s="152"/>
    </row>
    <row r="578" spans="2:49" s="64" customFormat="1">
      <c r="B578" s="95"/>
      <c r="C578" s="148"/>
      <c r="D578" s="190"/>
      <c r="E578" s="175"/>
      <c r="F578" s="175"/>
      <c r="G578" s="175"/>
      <c r="H578" s="790"/>
      <c r="I578" s="175"/>
      <c r="J578" s="790"/>
      <c r="K578" s="175"/>
      <c r="L578" s="175"/>
      <c r="M578" s="790"/>
      <c r="N578" s="175"/>
      <c r="O578" s="790"/>
      <c r="P578" s="175"/>
      <c r="Q578" s="175"/>
      <c r="R578" s="175"/>
      <c r="S578" s="167"/>
      <c r="T578" s="167"/>
      <c r="U578" s="175"/>
      <c r="V578" s="791"/>
      <c r="W578" s="175"/>
      <c r="X578" s="791"/>
      <c r="Y578" s="791"/>
      <c r="Z578" s="175"/>
      <c r="AA578" s="175"/>
      <c r="AB578" s="175"/>
      <c r="AC578" s="150"/>
      <c r="AD578" s="150"/>
      <c r="AE578" s="166"/>
      <c r="AF578" s="166"/>
      <c r="AG578" s="151"/>
      <c r="AH578" s="149"/>
      <c r="AI578" s="152"/>
      <c r="AJ578" s="152"/>
      <c r="AK578" s="152"/>
      <c r="AL578" s="152"/>
      <c r="AM578" s="152"/>
      <c r="AN578" s="152"/>
      <c r="AO578" s="165"/>
      <c r="AP578" s="152"/>
      <c r="AQ578" s="165"/>
      <c r="AR578" s="165"/>
      <c r="AS578" s="152"/>
      <c r="AT578" s="152"/>
      <c r="AU578" s="152"/>
      <c r="AV578" s="152"/>
      <c r="AW578" s="152"/>
    </row>
    <row r="579" spans="2:49" s="64" customFormat="1">
      <c r="B579" s="95"/>
      <c r="C579" s="148"/>
      <c r="D579" s="190"/>
      <c r="E579" s="175"/>
      <c r="F579" s="175"/>
      <c r="G579" s="175"/>
      <c r="H579" s="790"/>
      <c r="I579" s="175"/>
      <c r="J579" s="790"/>
      <c r="K579" s="175"/>
      <c r="L579" s="175"/>
      <c r="M579" s="790"/>
      <c r="N579" s="175"/>
      <c r="O579" s="790"/>
      <c r="P579" s="175"/>
      <c r="Q579" s="175"/>
      <c r="R579" s="175"/>
      <c r="S579" s="167"/>
      <c r="T579" s="167"/>
      <c r="U579" s="175"/>
      <c r="V579" s="791"/>
      <c r="W579" s="175"/>
      <c r="X579" s="791"/>
      <c r="Y579" s="791"/>
      <c r="Z579" s="175"/>
      <c r="AA579" s="175"/>
      <c r="AB579" s="175"/>
      <c r="AC579" s="150"/>
      <c r="AD579" s="150"/>
      <c r="AE579" s="166"/>
      <c r="AF579" s="166"/>
      <c r="AG579" s="151"/>
      <c r="AH579" s="149"/>
      <c r="AI579" s="152"/>
      <c r="AJ579" s="152"/>
      <c r="AK579" s="152"/>
      <c r="AL579" s="152"/>
      <c r="AM579" s="152"/>
      <c r="AN579" s="152"/>
      <c r="AO579" s="165"/>
      <c r="AP579" s="152"/>
      <c r="AQ579" s="165"/>
      <c r="AR579" s="165"/>
      <c r="AS579" s="152"/>
      <c r="AT579" s="152"/>
      <c r="AU579" s="152"/>
      <c r="AV579" s="152"/>
      <c r="AW579" s="152"/>
    </row>
    <row r="580" spans="2:49" s="64" customFormat="1">
      <c r="B580" s="95"/>
      <c r="C580" s="148"/>
      <c r="D580" s="190"/>
      <c r="E580" s="175"/>
      <c r="F580" s="175"/>
      <c r="G580" s="175"/>
      <c r="H580" s="790"/>
      <c r="I580" s="175"/>
      <c r="J580" s="790"/>
      <c r="K580" s="175"/>
      <c r="L580" s="175"/>
      <c r="M580" s="790"/>
      <c r="N580" s="175"/>
      <c r="O580" s="790"/>
      <c r="P580" s="175"/>
      <c r="Q580" s="175"/>
      <c r="R580" s="175"/>
      <c r="S580" s="167"/>
      <c r="T580" s="167"/>
      <c r="U580" s="175"/>
      <c r="V580" s="791"/>
      <c r="W580" s="175"/>
      <c r="X580" s="791"/>
      <c r="Y580" s="791"/>
      <c r="Z580" s="175"/>
      <c r="AA580" s="175"/>
      <c r="AB580" s="175"/>
      <c r="AC580" s="150"/>
      <c r="AD580" s="150"/>
      <c r="AE580" s="166"/>
      <c r="AF580" s="166"/>
      <c r="AG580" s="151"/>
      <c r="AH580" s="149"/>
      <c r="AI580" s="152"/>
      <c r="AJ580" s="152"/>
      <c r="AK580" s="152"/>
      <c r="AL580" s="152"/>
      <c r="AM580" s="152"/>
      <c r="AN580" s="152"/>
      <c r="AO580" s="165"/>
      <c r="AP580" s="152"/>
      <c r="AQ580" s="165"/>
      <c r="AR580" s="165"/>
      <c r="AS580" s="152"/>
      <c r="AT580" s="152"/>
      <c r="AU580" s="152"/>
      <c r="AV580" s="152"/>
      <c r="AW580" s="152"/>
    </row>
    <row r="581" spans="2:49" s="64" customFormat="1">
      <c r="B581" s="95"/>
      <c r="C581" s="148"/>
      <c r="D581" s="190"/>
      <c r="E581" s="175"/>
      <c r="F581" s="175"/>
      <c r="G581" s="175"/>
      <c r="H581" s="790"/>
      <c r="I581" s="175"/>
      <c r="J581" s="790"/>
      <c r="K581" s="175"/>
      <c r="L581" s="175"/>
      <c r="M581" s="790"/>
      <c r="N581" s="175"/>
      <c r="O581" s="790"/>
      <c r="P581" s="175"/>
      <c r="Q581" s="175"/>
      <c r="R581" s="175"/>
      <c r="S581" s="167"/>
      <c r="T581" s="167"/>
      <c r="U581" s="175"/>
      <c r="V581" s="791"/>
      <c r="W581" s="175"/>
      <c r="X581" s="791"/>
      <c r="Y581" s="791"/>
      <c r="Z581" s="175"/>
      <c r="AA581" s="175"/>
      <c r="AB581" s="175"/>
      <c r="AC581" s="150"/>
      <c r="AD581" s="150"/>
      <c r="AE581" s="166"/>
      <c r="AF581" s="166"/>
      <c r="AG581" s="151"/>
      <c r="AH581" s="149"/>
      <c r="AI581" s="152"/>
      <c r="AJ581" s="152"/>
      <c r="AK581" s="152"/>
      <c r="AL581" s="152"/>
      <c r="AM581" s="152"/>
      <c r="AN581" s="152"/>
      <c r="AO581" s="165"/>
      <c r="AP581" s="152"/>
      <c r="AQ581" s="165"/>
      <c r="AR581" s="165"/>
      <c r="AS581" s="152"/>
      <c r="AT581" s="152"/>
      <c r="AU581" s="152"/>
      <c r="AV581" s="152"/>
      <c r="AW581" s="152"/>
    </row>
    <row r="582" spans="2:49" s="64" customFormat="1">
      <c r="B582" s="95"/>
      <c r="C582" s="148"/>
      <c r="D582" s="190"/>
      <c r="E582" s="175"/>
      <c r="F582" s="175"/>
      <c r="G582" s="175"/>
      <c r="H582" s="790"/>
      <c r="I582" s="175"/>
      <c r="J582" s="790"/>
      <c r="K582" s="175"/>
      <c r="L582" s="175"/>
      <c r="M582" s="790"/>
      <c r="N582" s="175"/>
      <c r="O582" s="790"/>
      <c r="P582" s="175"/>
      <c r="Q582" s="175"/>
      <c r="R582" s="175"/>
      <c r="S582" s="167"/>
      <c r="T582" s="167"/>
      <c r="U582" s="175"/>
      <c r="V582" s="791"/>
      <c r="W582" s="175"/>
      <c r="X582" s="791"/>
      <c r="Y582" s="791"/>
      <c r="Z582" s="175"/>
      <c r="AA582" s="175"/>
      <c r="AB582" s="175"/>
      <c r="AC582" s="150"/>
      <c r="AD582" s="150"/>
      <c r="AE582" s="166"/>
      <c r="AF582" s="166"/>
      <c r="AG582" s="151"/>
      <c r="AH582" s="149"/>
      <c r="AI582" s="152"/>
      <c r="AJ582" s="152"/>
      <c r="AK582" s="152"/>
      <c r="AL582" s="152"/>
      <c r="AM582" s="152"/>
      <c r="AN582" s="152"/>
      <c r="AO582" s="165"/>
      <c r="AP582" s="152"/>
      <c r="AQ582" s="165"/>
      <c r="AR582" s="165"/>
      <c r="AS582" s="152"/>
      <c r="AT582" s="152"/>
      <c r="AU582" s="152"/>
      <c r="AV582" s="152"/>
      <c r="AW582" s="152"/>
    </row>
    <row r="583" spans="2:49" s="64" customFormat="1">
      <c r="B583" s="95"/>
      <c r="C583" s="148"/>
      <c r="D583" s="190"/>
      <c r="E583" s="175"/>
      <c r="F583" s="175"/>
      <c r="G583" s="175"/>
      <c r="H583" s="790"/>
      <c r="I583" s="175"/>
      <c r="J583" s="790"/>
      <c r="K583" s="175"/>
      <c r="L583" s="175"/>
      <c r="M583" s="790"/>
      <c r="N583" s="175"/>
      <c r="O583" s="790"/>
      <c r="P583" s="175"/>
      <c r="Q583" s="175"/>
      <c r="R583" s="175"/>
      <c r="S583" s="167"/>
      <c r="T583" s="167"/>
      <c r="U583" s="175"/>
      <c r="V583" s="791"/>
      <c r="W583" s="175"/>
      <c r="X583" s="791"/>
      <c r="Y583" s="791"/>
      <c r="Z583" s="175"/>
      <c r="AA583" s="175"/>
      <c r="AB583" s="175"/>
      <c r="AC583" s="150"/>
      <c r="AD583" s="150"/>
      <c r="AE583" s="166"/>
      <c r="AF583" s="166"/>
      <c r="AG583" s="151"/>
      <c r="AH583" s="149"/>
      <c r="AI583" s="152"/>
      <c r="AJ583" s="152"/>
      <c r="AK583" s="152"/>
      <c r="AL583" s="152"/>
      <c r="AM583" s="152"/>
      <c r="AN583" s="152"/>
      <c r="AO583" s="165"/>
      <c r="AP583" s="152"/>
      <c r="AQ583" s="165"/>
      <c r="AR583" s="165"/>
      <c r="AS583" s="152"/>
      <c r="AT583" s="152"/>
      <c r="AU583" s="152"/>
      <c r="AV583" s="152"/>
      <c r="AW583" s="152"/>
    </row>
    <row r="584" spans="2:49" s="64" customFormat="1">
      <c r="B584" s="95"/>
      <c r="C584" s="148"/>
      <c r="D584" s="190"/>
      <c r="E584" s="175"/>
      <c r="F584" s="175"/>
      <c r="G584" s="175"/>
      <c r="H584" s="790"/>
      <c r="I584" s="175"/>
      <c r="J584" s="790"/>
      <c r="K584" s="175"/>
      <c r="L584" s="175"/>
      <c r="M584" s="790"/>
      <c r="N584" s="175"/>
      <c r="O584" s="790"/>
      <c r="P584" s="175"/>
      <c r="Q584" s="175"/>
      <c r="R584" s="175"/>
      <c r="S584" s="167"/>
      <c r="T584" s="167"/>
      <c r="U584" s="175"/>
      <c r="V584" s="791"/>
      <c r="W584" s="175"/>
      <c r="X584" s="791"/>
      <c r="Y584" s="791"/>
      <c r="Z584" s="175"/>
      <c r="AA584" s="175"/>
      <c r="AB584" s="175"/>
      <c r="AC584" s="150"/>
      <c r="AD584" s="150"/>
      <c r="AE584" s="166"/>
      <c r="AF584" s="166"/>
      <c r="AG584" s="151"/>
      <c r="AH584" s="149"/>
      <c r="AI584" s="152"/>
      <c r="AJ584" s="152"/>
      <c r="AK584" s="152"/>
      <c r="AL584" s="152"/>
      <c r="AM584" s="152"/>
      <c r="AN584" s="152"/>
      <c r="AO584" s="165"/>
      <c r="AP584" s="152"/>
      <c r="AQ584" s="165"/>
      <c r="AR584" s="165"/>
      <c r="AS584" s="152"/>
      <c r="AT584" s="152"/>
      <c r="AU584" s="152"/>
      <c r="AV584" s="152"/>
      <c r="AW584" s="152"/>
    </row>
    <row r="585" spans="2:49" s="64" customFormat="1">
      <c r="B585" s="95"/>
      <c r="C585" s="148"/>
      <c r="D585" s="190"/>
      <c r="E585" s="175"/>
      <c r="F585" s="175"/>
      <c r="G585" s="175"/>
      <c r="H585" s="790"/>
      <c r="I585" s="175"/>
      <c r="J585" s="790"/>
      <c r="K585" s="175"/>
      <c r="L585" s="175"/>
      <c r="M585" s="790"/>
      <c r="N585" s="175"/>
      <c r="O585" s="790"/>
      <c r="P585" s="175"/>
      <c r="Q585" s="175"/>
      <c r="R585" s="175"/>
      <c r="S585" s="167"/>
      <c r="T585" s="167"/>
      <c r="U585" s="175"/>
      <c r="V585" s="791"/>
      <c r="W585" s="175"/>
      <c r="X585" s="791"/>
      <c r="Y585" s="791"/>
      <c r="Z585" s="175"/>
      <c r="AA585" s="175"/>
      <c r="AB585" s="175"/>
      <c r="AC585" s="150"/>
      <c r="AD585" s="150"/>
      <c r="AE585" s="166"/>
      <c r="AF585" s="166"/>
      <c r="AG585" s="151"/>
      <c r="AH585" s="149"/>
      <c r="AI585" s="152"/>
      <c r="AJ585" s="152"/>
      <c r="AK585" s="152"/>
      <c r="AL585" s="152"/>
      <c r="AM585" s="152"/>
      <c r="AN585" s="152"/>
      <c r="AO585" s="165"/>
      <c r="AP585" s="152"/>
      <c r="AQ585" s="165"/>
      <c r="AR585" s="165"/>
      <c r="AS585" s="152"/>
      <c r="AT585" s="152"/>
      <c r="AU585" s="152"/>
      <c r="AV585" s="152"/>
      <c r="AW585" s="152"/>
    </row>
    <row r="586" spans="2:49" s="64" customFormat="1">
      <c r="B586" s="95"/>
      <c r="C586" s="148"/>
      <c r="D586" s="190"/>
      <c r="E586" s="175"/>
      <c r="F586" s="175"/>
      <c r="G586" s="175"/>
      <c r="H586" s="790"/>
      <c r="I586" s="175"/>
      <c r="J586" s="790"/>
      <c r="K586" s="175"/>
      <c r="L586" s="175"/>
      <c r="M586" s="790"/>
      <c r="N586" s="175"/>
      <c r="O586" s="790"/>
      <c r="P586" s="175"/>
      <c r="Q586" s="175"/>
      <c r="R586" s="175"/>
      <c r="S586" s="167"/>
      <c r="T586" s="167"/>
      <c r="U586" s="175"/>
      <c r="V586" s="791"/>
      <c r="W586" s="175"/>
      <c r="X586" s="791"/>
      <c r="Y586" s="791"/>
      <c r="Z586" s="175"/>
      <c r="AA586" s="175"/>
      <c r="AB586" s="175"/>
      <c r="AC586" s="150"/>
      <c r="AD586" s="150"/>
      <c r="AE586" s="166"/>
      <c r="AF586" s="166"/>
      <c r="AG586" s="151"/>
      <c r="AH586" s="149"/>
      <c r="AI586" s="152"/>
      <c r="AJ586" s="152"/>
      <c r="AK586" s="152"/>
      <c r="AL586" s="152"/>
      <c r="AM586" s="152"/>
      <c r="AN586" s="152"/>
      <c r="AO586" s="165"/>
      <c r="AP586" s="152"/>
      <c r="AQ586" s="165"/>
      <c r="AR586" s="165"/>
      <c r="AS586" s="152"/>
      <c r="AT586" s="152"/>
      <c r="AU586" s="152"/>
      <c r="AV586" s="152"/>
      <c r="AW586" s="152"/>
    </row>
    <row r="587" spans="2:49" s="64" customFormat="1">
      <c r="B587" s="95"/>
      <c r="C587" s="148"/>
      <c r="D587" s="190"/>
      <c r="E587" s="175"/>
      <c r="F587" s="175"/>
      <c r="G587" s="175"/>
      <c r="H587" s="790"/>
      <c r="I587" s="175"/>
      <c r="J587" s="790"/>
      <c r="K587" s="175"/>
      <c r="L587" s="175"/>
      <c r="M587" s="790"/>
      <c r="N587" s="175"/>
      <c r="O587" s="790"/>
      <c r="P587" s="175"/>
      <c r="Q587" s="175"/>
      <c r="R587" s="175"/>
      <c r="S587" s="167"/>
      <c r="T587" s="167"/>
      <c r="U587" s="175"/>
      <c r="V587" s="791"/>
      <c r="W587" s="175"/>
      <c r="X587" s="791"/>
      <c r="Y587" s="791"/>
      <c r="Z587" s="175"/>
      <c r="AA587" s="175"/>
      <c r="AB587" s="175"/>
      <c r="AC587" s="150"/>
      <c r="AD587" s="150"/>
      <c r="AE587" s="166"/>
      <c r="AF587" s="166"/>
      <c r="AG587" s="151"/>
      <c r="AH587" s="149"/>
      <c r="AI587" s="152"/>
      <c r="AJ587" s="152"/>
      <c r="AK587" s="152"/>
      <c r="AL587" s="152"/>
      <c r="AM587" s="152"/>
      <c r="AN587" s="152"/>
      <c r="AO587" s="165"/>
      <c r="AP587" s="152"/>
      <c r="AQ587" s="165"/>
      <c r="AR587" s="165"/>
      <c r="AS587" s="152"/>
      <c r="AT587" s="152"/>
      <c r="AU587" s="152"/>
      <c r="AV587" s="152"/>
      <c r="AW587" s="152"/>
    </row>
    <row r="588" spans="2:49" s="64" customFormat="1">
      <c r="B588" s="95"/>
      <c r="C588" s="148"/>
      <c r="D588" s="190"/>
      <c r="E588" s="175"/>
      <c r="F588" s="175"/>
      <c r="G588" s="175"/>
      <c r="H588" s="790"/>
      <c r="I588" s="175"/>
      <c r="J588" s="790"/>
      <c r="K588" s="175"/>
      <c r="L588" s="175"/>
      <c r="M588" s="790"/>
      <c r="N588" s="175"/>
      <c r="O588" s="790"/>
      <c r="P588" s="175"/>
      <c r="Q588" s="175"/>
      <c r="R588" s="175"/>
      <c r="S588" s="167"/>
      <c r="T588" s="167"/>
      <c r="U588" s="175"/>
      <c r="V588" s="791"/>
      <c r="W588" s="175"/>
      <c r="X588" s="791"/>
      <c r="Y588" s="791"/>
      <c r="Z588" s="175"/>
      <c r="AA588" s="175"/>
      <c r="AB588" s="175"/>
      <c r="AC588" s="150"/>
      <c r="AD588" s="150"/>
      <c r="AE588" s="166"/>
      <c r="AF588" s="166"/>
      <c r="AG588" s="151"/>
      <c r="AH588" s="149"/>
      <c r="AI588" s="152"/>
      <c r="AJ588" s="152"/>
      <c r="AK588" s="152"/>
      <c r="AL588" s="152"/>
      <c r="AM588" s="152"/>
      <c r="AN588" s="152"/>
      <c r="AO588" s="165"/>
      <c r="AP588" s="152"/>
      <c r="AQ588" s="165"/>
      <c r="AR588" s="165"/>
      <c r="AS588" s="152"/>
      <c r="AT588" s="152"/>
      <c r="AU588" s="152"/>
      <c r="AV588" s="152"/>
      <c r="AW588" s="152"/>
    </row>
    <row r="589" spans="2:49" s="64" customFormat="1">
      <c r="B589" s="95"/>
      <c r="C589" s="148"/>
      <c r="D589" s="190"/>
      <c r="E589" s="175"/>
      <c r="F589" s="175"/>
      <c r="G589" s="175"/>
      <c r="H589" s="790"/>
      <c r="I589" s="175"/>
      <c r="J589" s="790"/>
      <c r="K589" s="175"/>
      <c r="L589" s="175"/>
      <c r="M589" s="790"/>
      <c r="N589" s="175"/>
      <c r="O589" s="790"/>
      <c r="P589" s="175"/>
      <c r="Q589" s="175"/>
      <c r="R589" s="175"/>
      <c r="S589" s="167"/>
      <c r="T589" s="167"/>
      <c r="U589" s="175"/>
      <c r="V589" s="791"/>
      <c r="W589" s="175"/>
      <c r="X589" s="791"/>
      <c r="Y589" s="791"/>
      <c r="Z589" s="175"/>
      <c r="AA589" s="175"/>
      <c r="AB589" s="175"/>
      <c r="AC589" s="150"/>
      <c r="AD589" s="150"/>
      <c r="AE589" s="166"/>
      <c r="AF589" s="166"/>
      <c r="AG589" s="151"/>
      <c r="AH589" s="149"/>
      <c r="AI589" s="152"/>
      <c r="AJ589" s="152"/>
      <c r="AK589" s="152"/>
      <c r="AL589" s="152"/>
      <c r="AM589" s="152"/>
      <c r="AN589" s="152"/>
      <c r="AO589" s="165"/>
      <c r="AP589" s="152"/>
      <c r="AQ589" s="165"/>
      <c r="AR589" s="165"/>
      <c r="AS589" s="152"/>
      <c r="AT589" s="152"/>
      <c r="AU589" s="152"/>
      <c r="AV589" s="152"/>
      <c r="AW589" s="152"/>
    </row>
    <row r="590" spans="2:49" s="64" customFormat="1">
      <c r="B590" s="95"/>
      <c r="C590" s="148"/>
      <c r="D590" s="190"/>
      <c r="E590" s="175"/>
      <c r="F590" s="175"/>
      <c r="G590" s="175"/>
      <c r="H590" s="790"/>
      <c r="I590" s="175"/>
      <c r="J590" s="790"/>
      <c r="K590" s="175"/>
      <c r="L590" s="175"/>
      <c r="M590" s="790"/>
      <c r="N590" s="175"/>
      <c r="O590" s="790"/>
      <c r="P590" s="175"/>
      <c r="Q590" s="175"/>
      <c r="R590" s="175"/>
      <c r="S590" s="167"/>
      <c r="T590" s="167"/>
      <c r="U590" s="175"/>
      <c r="V590" s="791"/>
      <c r="W590" s="175"/>
      <c r="X590" s="791"/>
      <c r="Y590" s="791"/>
      <c r="Z590" s="175"/>
      <c r="AA590" s="175"/>
      <c r="AB590" s="175"/>
      <c r="AC590" s="150"/>
      <c r="AD590" s="150"/>
      <c r="AE590" s="166"/>
      <c r="AF590" s="166"/>
      <c r="AG590" s="151"/>
      <c r="AH590" s="149"/>
      <c r="AI590" s="152"/>
      <c r="AJ590" s="152"/>
      <c r="AK590" s="152"/>
      <c r="AL590" s="152"/>
      <c r="AM590" s="152"/>
      <c r="AN590" s="152"/>
      <c r="AO590" s="165"/>
      <c r="AP590" s="152"/>
      <c r="AQ590" s="165"/>
      <c r="AR590" s="165"/>
      <c r="AS590" s="152"/>
      <c r="AT590" s="152"/>
      <c r="AU590" s="152"/>
      <c r="AV590" s="152"/>
      <c r="AW590" s="152"/>
    </row>
    <row r="591" spans="2:49" s="64" customFormat="1">
      <c r="B591" s="95"/>
      <c r="C591" s="148"/>
      <c r="D591" s="190"/>
      <c r="E591" s="175"/>
      <c r="F591" s="175"/>
      <c r="G591" s="175"/>
      <c r="H591" s="790"/>
      <c r="I591" s="175"/>
      <c r="J591" s="790"/>
      <c r="K591" s="175"/>
      <c r="L591" s="175"/>
      <c r="M591" s="790"/>
      <c r="N591" s="175"/>
      <c r="O591" s="790"/>
      <c r="P591" s="175"/>
      <c r="Q591" s="175"/>
      <c r="R591" s="175"/>
      <c r="S591" s="167"/>
      <c r="T591" s="167"/>
      <c r="U591" s="175"/>
      <c r="V591" s="791"/>
      <c r="W591" s="175"/>
      <c r="X591" s="791"/>
      <c r="Y591" s="791"/>
      <c r="Z591" s="175"/>
      <c r="AA591" s="175"/>
      <c r="AB591" s="175"/>
      <c r="AC591" s="150"/>
      <c r="AD591" s="150"/>
      <c r="AE591" s="166"/>
      <c r="AF591" s="166"/>
      <c r="AG591" s="151"/>
      <c r="AH591" s="149"/>
      <c r="AI591" s="152"/>
      <c r="AJ591" s="152"/>
      <c r="AK591" s="152"/>
      <c r="AL591" s="152"/>
      <c r="AM591" s="152"/>
      <c r="AN591" s="152"/>
      <c r="AO591" s="165"/>
      <c r="AP591" s="152"/>
      <c r="AQ591" s="165"/>
      <c r="AR591" s="165"/>
      <c r="AS591" s="152"/>
      <c r="AT591" s="152"/>
      <c r="AU591" s="152"/>
      <c r="AV591" s="152"/>
      <c r="AW591" s="152"/>
    </row>
    <row r="592" spans="2:49" s="64" customFormat="1">
      <c r="B592" s="95"/>
      <c r="C592" s="148"/>
      <c r="D592" s="190"/>
      <c r="E592" s="175"/>
      <c r="F592" s="175"/>
      <c r="G592" s="175"/>
      <c r="H592" s="790"/>
      <c r="I592" s="175"/>
      <c r="J592" s="790"/>
      <c r="K592" s="175"/>
      <c r="L592" s="175"/>
      <c r="M592" s="790"/>
      <c r="N592" s="175"/>
      <c r="O592" s="790"/>
      <c r="P592" s="175"/>
      <c r="Q592" s="175"/>
      <c r="R592" s="175"/>
      <c r="S592" s="167"/>
      <c r="T592" s="167"/>
      <c r="U592" s="175"/>
      <c r="V592" s="791"/>
      <c r="W592" s="175"/>
      <c r="X592" s="791"/>
      <c r="Y592" s="791"/>
      <c r="Z592" s="175"/>
      <c r="AA592" s="175"/>
      <c r="AB592" s="175"/>
      <c r="AC592" s="150"/>
      <c r="AD592" s="150"/>
      <c r="AE592" s="166"/>
      <c r="AF592" s="166"/>
      <c r="AG592" s="151"/>
      <c r="AH592" s="149"/>
      <c r="AI592" s="152"/>
      <c r="AJ592" s="152"/>
      <c r="AK592" s="152"/>
      <c r="AL592" s="152"/>
      <c r="AM592" s="152"/>
      <c r="AN592" s="152"/>
      <c r="AO592" s="165"/>
      <c r="AP592" s="152"/>
      <c r="AQ592" s="165"/>
      <c r="AR592" s="165"/>
      <c r="AS592" s="152"/>
      <c r="AT592" s="152"/>
      <c r="AU592" s="152"/>
      <c r="AV592" s="152"/>
      <c r="AW592" s="152"/>
    </row>
    <row r="593" spans="2:49" s="64" customFormat="1">
      <c r="B593" s="95"/>
      <c r="C593" s="148"/>
      <c r="D593" s="190"/>
      <c r="E593" s="175"/>
      <c r="F593" s="175"/>
      <c r="G593" s="175"/>
      <c r="H593" s="790"/>
      <c r="I593" s="175"/>
      <c r="J593" s="790"/>
      <c r="K593" s="175"/>
      <c r="L593" s="175"/>
      <c r="M593" s="790"/>
      <c r="N593" s="175"/>
      <c r="O593" s="790"/>
      <c r="P593" s="175"/>
      <c r="Q593" s="175"/>
      <c r="R593" s="175"/>
      <c r="S593" s="167"/>
      <c r="T593" s="167"/>
      <c r="U593" s="175"/>
      <c r="V593" s="791"/>
      <c r="W593" s="175"/>
      <c r="X593" s="791"/>
      <c r="Y593" s="791"/>
      <c r="Z593" s="175"/>
      <c r="AA593" s="175"/>
      <c r="AB593" s="175"/>
      <c r="AC593" s="150"/>
      <c r="AD593" s="150"/>
      <c r="AE593" s="166"/>
      <c r="AF593" s="166"/>
      <c r="AG593" s="151"/>
      <c r="AH593" s="149"/>
      <c r="AI593" s="152"/>
      <c r="AJ593" s="152"/>
      <c r="AK593" s="152"/>
      <c r="AL593" s="152"/>
      <c r="AM593" s="152"/>
      <c r="AN593" s="152"/>
      <c r="AO593" s="165"/>
      <c r="AP593" s="152"/>
      <c r="AQ593" s="165"/>
      <c r="AR593" s="165"/>
      <c r="AS593" s="152"/>
      <c r="AT593" s="152"/>
      <c r="AU593" s="152"/>
      <c r="AV593" s="152"/>
      <c r="AW593" s="152"/>
    </row>
    <row r="594" spans="2:49" s="64" customFormat="1">
      <c r="B594" s="95"/>
      <c r="C594" s="148"/>
      <c r="D594" s="190"/>
      <c r="E594" s="175"/>
      <c r="F594" s="175"/>
      <c r="G594" s="175"/>
      <c r="H594" s="790"/>
      <c r="I594" s="175"/>
      <c r="J594" s="790"/>
      <c r="K594" s="175"/>
      <c r="L594" s="175"/>
      <c r="M594" s="790"/>
      <c r="N594" s="175"/>
      <c r="O594" s="790"/>
      <c r="P594" s="175"/>
      <c r="Q594" s="175"/>
      <c r="R594" s="175"/>
      <c r="S594" s="167"/>
      <c r="T594" s="167"/>
      <c r="U594" s="175"/>
      <c r="V594" s="791"/>
      <c r="W594" s="175"/>
      <c r="X594" s="791"/>
      <c r="Y594" s="791"/>
      <c r="Z594" s="175"/>
      <c r="AA594" s="175"/>
      <c r="AB594" s="175"/>
      <c r="AC594" s="150"/>
      <c r="AD594" s="150"/>
      <c r="AE594" s="166"/>
      <c r="AF594" s="166"/>
      <c r="AG594" s="151"/>
      <c r="AH594" s="149"/>
      <c r="AI594" s="152"/>
      <c r="AJ594" s="152"/>
      <c r="AK594" s="152"/>
      <c r="AL594" s="152"/>
      <c r="AM594" s="152"/>
      <c r="AN594" s="152"/>
      <c r="AO594" s="165"/>
      <c r="AP594" s="152"/>
      <c r="AQ594" s="165"/>
      <c r="AR594" s="165"/>
      <c r="AS594" s="152"/>
      <c r="AT594" s="152"/>
      <c r="AU594" s="152"/>
      <c r="AV594" s="152"/>
      <c r="AW594" s="152"/>
    </row>
    <row r="595" spans="2:49" s="64" customFormat="1">
      <c r="B595" s="95"/>
      <c r="C595" s="148"/>
      <c r="D595" s="190"/>
      <c r="E595" s="175"/>
      <c r="F595" s="175"/>
      <c r="G595" s="175"/>
      <c r="H595" s="790"/>
      <c r="I595" s="175"/>
      <c r="J595" s="790"/>
      <c r="K595" s="175"/>
      <c r="L595" s="175"/>
      <c r="M595" s="790"/>
      <c r="N595" s="175"/>
      <c r="O595" s="790"/>
      <c r="P595" s="175"/>
      <c r="Q595" s="175"/>
      <c r="R595" s="175"/>
      <c r="S595" s="167"/>
      <c r="T595" s="167"/>
      <c r="U595" s="175"/>
      <c r="V595" s="791"/>
      <c r="W595" s="175"/>
      <c r="X595" s="791"/>
      <c r="Y595" s="791"/>
      <c r="Z595" s="175"/>
      <c r="AA595" s="175"/>
      <c r="AB595" s="175"/>
      <c r="AC595" s="150"/>
      <c r="AD595" s="150"/>
      <c r="AE595" s="166"/>
      <c r="AF595" s="166"/>
      <c r="AG595" s="151"/>
      <c r="AH595" s="149"/>
      <c r="AI595" s="152"/>
      <c r="AJ595" s="152"/>
      <c r="AK595" s="152"/>
      <c r="AL595" s="152"/>
      <c r="AM595" s="152"/>
      <c r="AN595" s="152"/>
      <c r="AO595" s="165"/>
      <c r="AP595" s="152"/>
      <c r="AQ595" s="165"/>
      <c r="AR595" s="165"/>
      <c r="AS595" s="152"/>
      <c r="AT595" s="152"/>
      <c r="AU595" s="152"/>
      <c r="AV595" s="152"/>
      <c r="AW595" s="152"/>
    </row>
    <row r="596" spans="2:49" s="64" customFormat="1">
      <c r="B596" s="95"/>
      <c r="C596" s="148"/>
      <c r="D596" s="190"/>
      <c r="E596" s="175"/>
      <c r="F596" s="175"/>
      <c r="G596" s="175"/>
      <c r="H596" s="790"/>
      <c r="I596" s="175"/>
      <c r="J596" s="790"/>
      <c r="K596" s="175"/>
      <c r="L596" s="175"/>
      <c r="M596" s="790"/>
      <c r="N596" s="175"/>
      <c r="O596" s="790"/>
      <c r="P596" s="175"/>
      <c r="Q596" s="175"/>
      <c r="R596" s="175"/>
      <c r="S596" s="167"/>
      <c r="T596" s="167"/>
      <c r="U596" s="175"/>
      <c r="V596" s="791"/>
      <c r="W596" s="175"/>
      <c r="X596" s="791"/>
      <c r="Y596" s="791"/>
      <c r="Z596" s="175"/>
      <c r="AA596" s="175"/>
      <c r="AB596" s="175"/>
      <c r="AC596" s="150"/>
      <c r="AD596" s="150"/>
      <c r="AE596" s="166"/>
      <c r="AF596" s="166"/>
      <c r="AG596" s="151"/>
      <c r="AH596" s="149"/>
      <c r="AI596" s="152"/>
      <c r="AJ596" s="152"/>
      <c r="AK596" s="152"/>
      <c r="AL596" s="152"/>
      <c r="AM596" s="152"/>
      <c r="AN596" s="152"/>
      <c r="AO596" s="165"/>
      <c r="AP596" s="152"/>
      <c r="AQ596" s="165"/>
      <c r="AR596" s="165"/>
      <c r="AS596" s="152"/>
      <c r="AT596" s="152"/>
      <c r="AU596" s="152"/>
      <c r="AV596" s="152"/>
      <c r="AW596" s="152"/>
    </row>
    <row r="597" spans="2:49" s="64" customFormat="1">
      <c r="B597" s="95"/>
      <c r="C597" s="148"/>
      <c r="D597" s="190"/>
      <c r="E597" s="175"/>
      <c r="F597" s="175"/>
      <c r="G597" s="175"/>
      <c r="H597" s="790"/>
      <c r="I597" s="175"/>
      <c r="J597" s="790"/>
      <c r="K597" s="175"/>
      <c r="L597" s="175"/>
      <c r="M597" s="790"/>
      <c r="N597" s="175"/>
      <c r="O597" s="790"/>
      <c r="P597" s="175"/>
      <c r="Q597" s="175"/>
      <c r="R597" s="175"/>
      <c r="S597" s="167"/>
      <c r="T597" s="167"/>
      <c r="U597" s="175"/>
      <c r="V597" s="791"/>
      <c r="W597" s="175"/>
      <c r="X597" s="791"/>
      <c r="Y597" s="791"/>
      <c r="Z597" s="175"/>
      <c r="AA597" s="175"/>
      <c r="AB597" s="175"/>
      <c r="AC597" s="150"/>
      <c r="AD597" s="150"/>
      <c r="AE597" s="166"/>
      <c r="AF597" s="166"/>
      <c r="AG597" s="151"/>
      <c r="AH597" s="149"/>
      <c r="AI597" s="152"/>
      <c r="AJ597" s="152"/>
      <c r="AK597" s="152"/>
      <c r="AL597" s="152"/>
      <c r="AM597" s="152"/>
      <c r="AN597" s="152"/>
      <c r="AO597" s="165"/>
      <c r="AP597" s="152"/>
      <c r="AQ597" s="165"/>
      <c r="AR597" s="165"/>
      <c r="AS597" s="152"/>
      <c r="AT597" s="152"/>
      <c r="AU597" s="152"/>
      <c r="AV597" s="152"/>
      <c r="AW597" s="152"/>
    </row>
    <row r="598" spans="2:49" s="64" customFormat="1">
      <c r="B598" s="95"/>
      <c r="C598" s="148"/>
      <c r="D598" s="190"/>
      <c r="E598" s="175"/>
      <c r="F598" s="175"/>
      <c r="G598" s="175"/>
      <c r="H598" s="790"/>
      <c r="I598" s="175"/>
      <c r="J598" s="790"/>
      <c r="K598" s="175"/>
      <c r="L598" s="175"/>
      <c r="M598" s="790"/>
      <c r="N598" s="175"/>
      <c r="O598" s="790"/>
      <c r="P598" s="175"/>
      <c r="Q598" s="175"/>
      <c r="R598" s="175"/>
      <c r="S598" s="167"/>
      <c r="T598" s="167"/>
      <c r="U598" s="175"/>
      <c r="V598" s="791"/>
      <c r="W598" s="175"/>
      <c r="X598" s="791"/>
      <c r="Y598" s="791"/>
      <c r="Z598" s="175"/>
      <c r="AA598" s="175"/>
      <c r="AB598" s="175"/>
      <c r="AC598" s="150"/>
      <c r="AD598" s="150"/>
      <c r="AE598" s="166"/>
      <c r="AF598" s="166"/>
      <c r="AG598" s="151"/>
      <c r="AH598" s="149"/>
      <c r="AI598" s="152"/>
      <c r="AJ598" s="152"/>
      <c r="AK598" s="152"/>
      <c r="AL598" s="152"/>
      <c r="AM598" s="152"/>
      <c r="AN598" s="152"/>
      <c r="AO598" s="165"/>
      <c r="AP598" s="152"/>
      <c r="AQ598" s="165"/>
      <c r="AR598" s="165"/>
      <c r="AS598" s="152"/>
      <c r="AT598" s="152"/>
      <c r="AU598" s="152"/>
      <c r="AV598" s="152"/>
      <c r="AW598" s="152"/>
    </row>
  </sheetData>
  <mergeCells count="38">
    <mergeCell ref="C2:AB2"/>
    <mergeCell ref="G3:W3"/>
    <mergeCell ref="G4:R4"/>
    <mergeCell ref="S4:T4"/>
    <mergeCell ref="C7:D7"/>
    <mergeCell ref="AA4:AA6"/>
    <mergeCell ref="AB4:AB6"/>
    <mergeCell ref="T5:T6"/>
    <mergeCell ref="G5:G6"/>
    <mergeCell ref="S5:S6"/>
    <mergeCell ref="U5:U6"/>
    <mergeCell ref="V5:W5"/>
    <mergeCell ref="Y5:Z5"/>
    <mergeCell ref="B4:B6"/>
    <mergeCell ref="C4:D6"/>
    <mergeCell ref="E4:E6"/>
    <mergeCell ref="F4:F6"/>
    <mergeCell ref="AC4:AC6"/>
    <mergeCell ref="I5:Q5"/>
    <mergeCell ref="R5:R6"/>
    <mergeCell ref="U4:W4"/>
    <mergeCell ref="X4:Z4"/>
    <mergeCell ref="AE4:AE6"/>
    <mergeCell ref="AF4:AF6"/>
    <mergeCell ref="AG4:AG6"/>
    <mergeCell ref="AT4:AW5"/>
    <mergeCell ref="X5:X6"/>
    <mergeCell ref="AH4:AH6"/>
    <mergeCell ref="AI4:AN5"/>
    <mergeCell ref="AO4:AP6"/>
    <mergeCell ref="AK6:AL6"/>
    <mergeCell ref="AM6:AN6"/>
    <mergeCell ref="AT6:AU6"/>
    <mergeCell ref="AD4:AD6"/>
    <mergeCell ref="AI6:AJ6"/>
    <mergeCell ref="AX4:AX6"/>
    <mergeCell ref="AQ4:AQ6"/>
    <mergeCell ref="AR4:AS6"/>
  </mergeCells>
  <phoneticPr fontId="55" type="noConversion"/>
  <printOptions verticalCentered="1"/>
  <pageMargins left="0" right="0" top="0.59055118110236227" bottom="0.39370078740157483" header="0" footer="0"/>
  <pageSetup paperSize="9" scale="23" fitToHeight="12" orientation="landscape" r:id="rId1"/>
  <headerFooter alignWithMargins="0"/>
  <rowBreaks count="3" manualBreakCount="3">
    <brk id="187" min="1" max="27" man="1"/>
    <brk id="193" min="1" max="27" man="1"/>
    <brk id="295" min="1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598"/>
  <sheetViews>
    <sheetView topLeftCell="A7" zoomScale="35" zoomScaleNormal="35" workbookViewId="0">
      <selection activeCell="AC450" sqref="AC450"/>
    </sheetView>
  </sheetViews>
  <sheetFormatPr defaultRowHeight="33.75"/>
  <cols>
    <col min="1" max="1" width="2.28515625" style="65" customWidth="1"/>
    <col min="2" max="2" width="15.42578125" style="95" bestFit="1" customWidth="1"/>
    <col min="3" max="3" width="89.5703125" style="148" customWidth="1"/>
    <col min="4" max="4" width="71.42578125" style="190" customWidth="1"/>
    <col min="5" max="5" width="45.140625" style="175" customWidth="1"/>
    <col min="6" max="6" width="8.7109375" style="175" customWidth="1"/>
    <col min="7" max="7" width="23.28515625" style="175" customWidth="1"/>
    <col min="8" max="8" width="14" style="790" customWidth="1"/>
    <col min="9" max="9" width="20.7109375" style="175" customWidth="1"/>
    <col min="10" max="10" width="10.28515625" style="790" customWidth="1"/>
    <col min="11" max="11" width="19.7109375" style="175" customWidth="1"/>
    <col min="12" max="12" width="15.7109375" style="175" customWidth="1"/>
    <col min="13" max="13" width="10.7109375" style="790" customWidth="1"/>
    <col min="14" max="14" width="21.5703125" style="175" customWidth="1"/>
    <col min="15" max="15" width="10.85546875" style="790" customWidth="1"/>
    <col min="16" max="16" width="21.28515625" style="175" customWidth="1"/>
    <col min="17" max="17" width="12" style="175" customWidth="1"/>
    <col min="18" max="18" width="25.42578125" style="175" customWidth="1"/>
    <col min="19" max="20" width="19.140625" style="167" customWidth="1"/>
    <col min="21" max="21" width="12.28515625" style="175" customWidth="1"/>
    <col min="22" max="22" width="10.5703125" style="791" customWidth="1"/>
    <col min="23" max="23" width="20.5703125" style="175" customWidth="1"/>
    <col min="24" max="24" width="10.85546875" style="791" customWidth="1"/>
    <col min="25" max="25" width="11.28515625" style="791" customWidth="1"/>
    <col min="26" max="26" width="22.85546875" style="175" customWidth="1"/>
    <col min="27" max="27" width="25.5703125" style="175" customWidth="1"/>
    <col min="28" max="28" width="25.7109375" style="792" customWidth="1"/>
    <col min="29" max="30" width="28" style="150" customWidth="1"/>
    <col min="31" max="31" width="39.140625" style="166" customWidth="1"/>
    <col min="32" max="32" width="44.140625" style="166" customWidth="1"/>
    <col min="33" max="33" width="33.5703125" style="151" customWidth="1"/>
    <col min="34" max="34" width="28.140625" style="149" customWidth="1"/>
    <col min="35" max="35" width="25.85546875" style="152" hidden="1" customWidth="1"/>
    <col min="36" max="36" width="22.7109375" style="152" hidden="1" customWidth="1"/>
    <col min="37" max="37" width="25.85546875" style="152" hidden="1" customWidth="1"/>
    <col min="38" max="38" width="22.28515625" style="152" hidden="1" customWidth="1"/>
    <col min="39" max="39" width="21.42578125" style="152" hidden="1" customWidth="1"/>
    <col min="40" max="40" width="21.7109375" style="152" hidden="1" customWidth="1"/>
    <col min="41" max="41" width="21.42578125" style="165" hidden="1" customWidth="1"/>
    <col min="42" max="42" width="28.85546875" style="152" hidden="1" customWidth="1"/>
    <col min="43" max="43" width="29.85546875" style="165" hidden="1" customWidth="1"/>
    <col min="44" max="44" width="18.5703125" style="165" hidden="1" customWidth="1"/>
    <col min="45" max="45" width="28.85546875" style="152" hidden="1" customWidth="1"/>
    <col min="46" max="46" width="25.7109375" style="152" hidden="1" customWidth="1"/>
    <col min="47" max="47" width="22.7109375" style="152" hidden="1" customWidth="1"/>
    <col min="48" max="48" width="20.7109375" style="152" hidden="1" customWidth="1"/>
    <col min="49" max="49" width="28.85546875" style="152" customWidth="1"/>
    <col min="50" max="50" width="22.140625" style="65" customWidth="1"/>
    <col min="51" max="51" width="31.140625" style="65" customWidth="1"/>
    <col min="52" max="52" width="9.140625" style="65"/>
    <col min="53" max="53" width="14.42578125" style="65" bestFit="1" customWidth="1"/>
    <col min="54" max="16384" width="9.140625" style="65"/>
  </cols>
  <sheetData>
    <row r="1" spans="2:53" s="60" customFormat="1" ht="45">
      <c r="B1" s="91"/>
      <c r="C1" s="144"/>
      <c r="D1" s="186"/>
      <c r="E1" s="167"/>
      <c r="F1" s="167"/>
      <c r="G1" s="167"/>
      <c r="H1" s="715"/>
      <c r="I1" s="167"/>
      <c r="J1" s="715"/>
      <c r="K1" s="167"/>
      <c r="L1" s="167"/>
      <c r="M1" s="715"/>
      <c r="N1" s="167"/>
      <c r="O1" s="715"/>
      <c r="P1" s="167"/>
      <c r="Q1" s="167"/>
      <c r="R1" s="167"/>
      <c r="S1" s="167"/>
      <c r="T1" s="167"/>
      <c r="U1" s="167"/>
      <c r="V1" s="715"/>
      <c r="W1" s="167"/>
      <c r="X1" s="715"/>
      <c r="Y1" s="715"/>
      <c r="Z1" s="167"/>
      <c r="AA1" s="167"/>
      <c r="AB1" s="792"/>
      <c r="AC1" s="150"/>
      <c r="AD1" s="150"/>
      <c r="AE1" s="149"/>
      <c r="AF1" s="149"/>
      <c r="AG1" s="151"/>
      <c r="AH1" s="149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</row>
    <row r="2" spans="2:53" s="61" customFormat="1" ht="64.5">
      <c r="B2" s="92"/>
      <c r="C2" s="1009" t="s">
        <v>211</v>
      </c>
      <c r="D2" s="1009"/>
      <c r="E2" s="1010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53"/>
      <c r="AD2" s="153"/>
      <c r="AE2" s="154"/>
      <c r="AF2" s="154"/>
      <c r="AG2" s="155"/>
      <c r="AH2" s="156"/>
      <c r="AI2" s="157"/>
      <c r="AJ2" s="158"/>
      <c r="AK2" s="159"/>
      <c r="AL2" s="157"/>
      <c r="AM2" s="158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2:53" s="62" customFormat="1" ht="33">
      <c r="B3" s="93"/>
      <c r="C3" s="145"/>
      <c r="D3" s="187"/>
      <c r="E3" s="168"/>
      <c r="F3" s="168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716"/>
      <c r="Y3" s="716"/>
      <c r="Z3" s="168"/>
      <c r="AA3" s="168"/>
      <c r="AB3" s="793"/>
      <c r="AC3" s="153"/>
      <c r="AD3" s="153"/>
      <c r="AE3" s="154"/>
      <c r="AF3" s="154"/>
      <c r="AG3" s="155"/>
      <c r="AH3" s="154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53" s="717" customFormat="1" ht="128.25" customHeight="1">
      <c r="B4" s="1003"/>
      <c r="C4" s="1003" t="s">
        <v>1685</v>
      </c>
      <c r="D4" s="1004"/>
      <c r="E4" s="1003" t="s">
        <v>1686</v>
      </c>
      <c r="F4" s="1005" t="s">
        <v>1687</v>
      </c>
      <c r="G4" s="998" t="s">
        <v>1688</v>
      </c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 t="s">
        <v>1689</v>
      </c>
      <c r="T4" s="998"/>
      <c r="U4" s="998" t="s">
        <v>1690</v>
      </c>
      <c r="V4" s="998"/>
      <c r="W4" s="998"/>
      <c r="X4" s="998" t="s">
        <v>1691</v>
      </c>
      <c r="Y4" s="998"/>
      <c r="Z4" s="998"/>
      <c r="AA4" s="998" t="s">
        <v>1692</v>
      </c>
      <c r="AB4" s="1012" t="s">
        <v>1693</v>
      </c>
      <c r="AC4" s="996" t="s">
        <v>1380</v>
      </c>
      <c r="AD4" s="996" t="s">
        <v>1693</v>
      </c>
      <c r="AE4" s="999" t="s">
        <v>1380</v>
      </c>
      <c r="AF4" s="999" t="s">
        <v>1693</v>
      </c>
      <c r="AG4" s="1000" t="s">
        <v>1694</v>
      </c>
      <c r="AH4" s="999" t="s">
        <v>1692</v>
      </c>
      <c r="AI4" s="997" t="s">
        <v>1695</v>
      </c>
      <c r="AJ4" s="1001"/>
      <c r="AK4" s="1001"/>
      <c r="AL4" s="1001"/>
      <c r="AM4" s="1001"/>
      <c r="AN4" s="1001"/>
      <c r="AO4" s="997" t="s">
        <v>1696</v>
      </c>
      <c r="AP4" s="997"/>
      <c r="AQ4" s="997" t="s">
        <v>1692</v>
      </c>
      <c r="AR4" s="997" t="s">
        <v>1697</v>
      </c>
      <c r="AS4" s="997"/>
      <c r="AT4" s="997" t="s">
        <v>1698</v>
      </c>
      <c r="AU4" s="1001"/>
      <c r="AV4" s="1001"/>
      <c r="AW4" s="1001"/>
      <c r="AX4" s="995" t="s">
        <v>136</v>
      </c>
    </row>
    <row r="5" spans="2:53" s="717" customFormat="1" ht="39.75" customHeight="1">
      <c r="B5" s="1003"/>
      <c r="C5" s="1003"/>
      <c r="D5" s="1004"/>
      <c r="E5" s="1003"/>
      <c r="F5" s="1005"/>
      <c r="G5" s="998" t="s">
        <v>1699</v>
      </c>
      <c r="H5" s="718"/>
      <c r="I5" s="998" t="s">
        <v>1700</v>
      </c>
      <c r="J5" s="998"/>
      <c r="K5" s="1006"/>
      <c r="L5" s="1006"/>
      <c r="M5" s="1006"/>
      <c r="N5" s="1006"/>
      <c r="O5" s="1006"/>
      <c r="P5" s="1006"/>
      <c r="Q5" s="1006"/>
      <c r="R5" s="998" t="s">
        <v>1701</v>
      </c>
      <c r="S5" s="1007" t="s">
        <v>1702</v>
      </c>
      <c r="T5" s="1007" t="s">
        <v>1703</v>
      </c>
      <c r="U5" s="1008" t="s">
        <v>1704</v>
      </c>
      <c r="V5" s="998" t="s">
        <v>1705</v>
      </c>
      <c r="W5" s="998"/>
      <c r="X5" s="1002" t="s">
        <v>1706</v>
      </c>
      <c r="Y5" s="998" t="s">
        <v>1707</v>
      </c>
      <c r="Z5" s="998"/>
      <c r="AA5" s="998"/>
      <c r="AB5" s="1012"/>
      <c r="AC5" s="996"/>
      <c r="AD5" s="996"/>
      <c r="AE5" s="999"/>
      <c r="AF5" s="999"/>
      <c r="AG5" s="1000"/>
      <c r="AH5" s="999"/>
      <c r="AI5" s="1001"/>
      <c r="AJ5" s="1001"/>
      <c r="AK5" s="1001"/>
      <c r="AL5" s="1001"/>
      <c r="AM5" s="1001"/>
      <c r="AN5" s="1001"/>
      <c r="AO5" s="997"/>
      <c r="AP5" s="997"/>
      <c r="AQ5" s="997"/>
      <c r="AR5" s="997"/>
      <c r="AS5" s="997"/>
      <c r="AT5" s="1001"/>
      <c r="AU5" s="1001"/>
      <c r="AV5" s="1001"/>
      <c r="AW5" s="1001"/>
      <c r="AX5" s="995"/>
    </row>
    <row r="6" spans="2:53" s="660" customFormat="1" ht="377.25" customHeight="1">
      <c r="B6" s="1003"/>
      <c r="C6" s="1003"/>
      <c r="D6" s="1004"/>
      <c r="E6" s="1003"/>
      <c r="F6" s="1005"/>
      <c r="G6" s="998"/>
      <c r="H6" s="719" t="s">
        <v>1760</v>
      </c>
      <c r="I6" s="720" t="s">
        <v>1708</v>
      </c>
      <c r="J6" s="719" t="s">
        <v>1760</v>
      </c>
      <c r="K6" s="720" t="s">
        <v>1709</v>
      </c>
      <c r="L6" s="720" t="s">
        <v>1710</v>
      </c>
      <c r="M6" s="719" t="s">
        <v>1760</v>
      </c>
      <c r="N6" s="720" t="s">
        <v>1711</v>
      </c>
      <c r="O6" s="719" t="s">
        <v>1760</v>
      </c>
      <c r="P6" s="721" t="s">
        <v>1712</v>
      </c>
      <c r="Q6" s="721" t="s">
        <v>1713</v>
      </c>
      <c r="R6" s="998"/>
      <c r="S6" s="1007"/>
      <c r="T6" s="1007"/>
      <c r="U6" s="1008"/>
      <c r="V6" s="722" t="s">
        <v>1714</v>
      </c>
      <c r="W6" s="723" t="s">
        <v>1715</v>
      </c>
      <c r="X6" s="1002"/>
      <c r="Y6" s="724" t="s">
        <v>1714</v>
      </c>
      <c r="Z6" s="721" t="s">
        <v>1716</v>
      </c>
      <c r="AA6" s="998"/>
      <c r="AB6" s="1012"/>
      <c r="AC6" s="996"/>
      <c r="AD6" s="996"/>
      <c r="AE6" s="999"/>
      <c r="AF6" s="999"/>
      <c r="AG6" s="1000"/>
      <c r="AH6" s="999"/>
      <c r="AI6" s="995" t="s">
        <v>1717</v>
      </c>
      <c r="AJ6" s="995"/>
      <c r="AK6" s="995" t="s">
        <v>1718</v>
      </c>
      <c r="AL6" s="995"/>
      <c r="AM6" s="995" t="s">
        <v>1719</v>
      </c>
      <c r="AN6" s="995"/>
      <c r="AO6" s="997"/>
      <c r="AP6" s="997"/>
      <c r="AQ6" s="997"/>
      <c r="AR6" s="997"/>
      <c r="AS6" s="997"/>
      <c r="AT6" s="995" t="s">
        <v>1720</v>
      </c>
      <c r="AU6" s="995"/>
      <c r="AV6" s="704" t="s">
        <v>1721</v>
      </c>
      <c r="AW6" s="177" t="s">
        <v>1722</v>
      </c>
      <c r="AX6" s="995"/>
    </row>
    <row r="7" spans="2:53" s="730" customFormat="1" ht="27.75">
      <c r="B7" s="725" t="s">
        <v>1759</v>
      </c>
      <c r="C7" s="1003" t="s">
        <v>1723</v>
      </c>
      <c r="D7" s="1004"/>
      <c r="E7" s="725" t="s">
        <v>1724</v>
      </c>
      <c r="F7" s="725" t="s">
        <v>1725</v>
      </c>
      <c r="G7" s="726">
        <v>5</v>
      </c>
      <c r="H7" s="727"/>
      <c r="I7" s="725" t="s">
        <v>1726</v>
      </c>
      <c r="J7" s="727"/>
      <c r="K7" s="725" t="s">
        <v>1727</v>
      </c>
      <c r="L7" s="725" t="s">
        <v>1728</v>
      </c>
      <c r="M7" s="727"/>
      <c r="N7" s="725" t="s">
        <v>1729</v>
      </c>
      <c r="O7" s="727"/>
      <c r="P7" s="726">
        <v>10</v>
      </c>
      <c r="Q7" s="726">
        <v>11</v>
      </c>
      <c r="R7" s="726">
        <v>12</v>
      </c>
      <c r="S7" s="726">
        <v>13</v>
      </c>
      <c r="T7" s="726">
        <v>14</v>
      </c>
      <c r="U7" s="726">
        <v>15</v>
      </c>
      <c r="V7" s="718">
        <v>16</v>
      </c>
      <c r="W7" s="726">
        <v>17</v>
      </c>
      <c r="X7" s="718">
        <v>18</v>
      </c>
      <c r="Y7" s="718">
        <v>19</v>
      </c>
      <c r="Z7" s="726">
        <v>20</v>
      </c>
      <c r="AA7" s="726">
        <v>21</v>
      </c>
      <c r="AB7" s="794">
        <v>22</v>
      </c>
      <c r="AC7" s="142"/>
      <c r="AD7" s="142"/>
      <c r="AE7" s="726"/>
      <c r="AF7" s="726"/>
      <c r="AG7" s="142">
        <v>21</v>
      </c>
      <c r="AH7" s="726">
        <v>21</v>
      </c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8"/>
      <c r="AU7" s="728"/>
      <c r="AV7" s="728"/>
      <c r="AW7" s="728"/>
      <c r="AX7" s="729"/>
    </row>
    <row r="8" spans="2:53" s="660" customFormat="1" ht="33">
      <c r="B8" s="191"/>
      <c r="C8" s="191" t="s">
        <v>1730</v>
      </c>
      <c r="D8" s="192"/>
      <c r="E8" s="193"/>
      <c r="F8" s="193"/>
      <c r="G8" s="193"/>
      <c r="H8" s="731"/>
      <c r="I8" s="193"/>
      <c r="J8" s="731"/>
      <c r="K8" s="193"/>
      <c r="L8" s="193"/>
      <c r="M8" s="731"/>
      <c r="N8" s="193"/>
      <c r="O8" s="731"/>
      <c r="P8" s="193"/>
      <c r="Q8" s="193"/>
      <c r="R8" s="193"/>
      <c r="S8" s="193"/>
      <c r="T8" s="193"/>
      <c r="U8" s="193"/>
      <c r="V8" s="732"/>
      <c r="W8" s="193"/>
      <c r="X8" s="732"/>
      <c r="Y8" s="732"/>
      <c r="Z8" s="193"/>
      <c r="AA8" s="193"/>
      <c r="AB8" s="795"/>
      <c r="AC8" s="195"/>
      <c r="AD8" s="195"/>
      <c r="AE8" s="195"/>
      <c r="AF8" s="195"/>
      <c r="AG8" s="195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733"/>
    </row>
    <row r="9" spans="2:53" s="661" customFormat="1" ht="33">
      <c r="B9" s="191"/>
      <c r="C9" s="191" t="s">
        <v>1877</v>
      </c>
      <c r="D9" s="192"/>
      <c r="E9" s="193"/>
      <c r="F9" s="193"/>
      <c r="G9" s="193"/>
      <c r="H9" s="731"/>
      <c r="I9" s="193"/>
      <c r="J9" s="731"/>
      <c r="K9" s="193"/>
      <c r="L9" s="193"/>
      <c r="M9" s="731"/>
      <c r="N9" s="193"/>
      <c r="O9" s="731"/>
      <c r="P9" s="193"/>
      <c r="Q9" s="193"/>
      <c r="R9" s="193"/>
      <c r="S9" s="193"/>
      <c r="T9" s="193"/>
      <c r="U9" s="193"/>
      <c r="V9" s="732"/>
      <c r="W9" s="193"/>
      <c r="X9" s="732"/>
      <c r="Y9" s="732"/>
      <c r="Z9" s="193"/>
      <c r="AA9" s="193"/>
      <c r="AB9" s="795"/>
      <c r="AC9" s="195"/>
      <c r="AD9" s="195"/>
      <c r="AE9" s="195"/>
      <c r="AF9" s="195"/>
      <c r="AG9" s="208"/>
      <c r="AH9" s="195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734"/>
    </row>
    <row r="10" spans="2:53" s="661" customFormat="1" ht="58.5" hidden="1" customHeight="1">
      <c r="B10" s="703"/>
      <c r="C10" s="197"/>
      <c r="D10" s="198" t="s">
        <v>1731</v>
      </c>
      <c r="E10" s="703" t="s">
        <v>1679</v>
      </c>
      <c r="F10" s="703">
        <v>16</v>
      </c>
      <c r="G10" s="199">
        <v>8914</v>
      </c>
      <c r="H10" s="735">
        <v>0.44900000000000001</v>
      </c>
      <c r="I10" s="199">
        <f>3195*H10</f>
        <v>1434.5550000000001</v>
      </c>
      <c r="J10" s="736"/>
      <c r="K10" s="199"/>
      <c r="L10" s="199"/>
      <c r="M10" s="736"/>
      <c r="N10" s="199"/>
      <c r="O10" s="736"/>
      <c r="P10" s="703"/>
      <c r="Q10" s="703"/>
      <c r="R10" s="200">
        <f>G10+I10+K10+L10+N10+P10+Q10</f>
        <v>10348.555</v>
      </c>
      <c r="S10" s="703" t="s">
        <v>1732</v>
      </c>
      <c r="T10" s="703"/>
      <c r="U10" s="703"/>
      <c r="V10" s="718"/>
      <c r="W10" s="703"/>
      <c r="X10" s="718">
        <v>34</v>
      </c>
      <c r="Y10" s="737">
        <v>0.3</v>
      </c>
      <c r="Z10" s="199">
        <f>R10*Y10</f>
        <v>3104.5664999999999</v>
      </c>
      <c r="AA10" s="199"/>
      <c r="AB10" s="796">
        <f>R10</f>
        <v>10348.555</v>
      </c>
      <c r="AC10" s="738"/>
      <c r="AD10" s="738">
        <f>T10</f>
        <v>0</v>
      </c>
      <c r="AE10" s="202"/>
      <c r="AF10" s="202">
        <f>V10</f>
        <v>0</v>
      </c>
      <c r="AG10" s="738"/>
      <c r="AH10" s="202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734"/>
    </row>
    <row r="11" spans="2:53" s="76" customFormat="1" ht="58.5" hidden="1" customHeight="1">
      <c r="B11" s="703"/>
      <c r="C11" s="197"/>
      <c r="D11" s="198" t="s">
        <v>1733</v>
      </c>
      <c r="E11" s="703" t="s">
        <v>1734</v>
      </c>
      <c r="F11" s="703">
        <v>14</v>
      </c>
      <c r="G11" s="199">
        <v>7732</v>
      </c>
      <c r="H11" s="735">
        <v>0.25</v>
      </c>
      <c r="I11" s="199">
        <f>G11*H11</f>
        <v>1933</v>
      </c>
      <c r="J11" s="737">
        <v>0.4</v>
      </c>
      <c r="K11" s="204">
        <f>(G11+I11)*J11</f>
        <v>3866</v>
      </c>
      <c r="L11" s="703"/>
      <c r="M11" s="718"/>
      <c r="N11" s="703"/>
      <c r="O11" s="718"/>
      <c r="P11" s="703"/>
      <c r="Q11" s="703"/>
      <c r="R11" s="200">
        <f>G11+I11+K11+L11+N11+P11+Q11</f>
        <v>13531</v>
      </c>
      <c r="S11" s="199">
        <v>1</v>
      </c>
      <c r="T11" s="199"/>
      <c r="U11" s="703"/>
      <c r="V11" s="718"/>
      <c r="W11" s="703"/>
      <c r="X11" s="718">
        <v>32</v>
      </c>
      <c r="Y11" s="737">
        <v>0.3</v>
      </c>
      <c r="Z11" s="199">
        <f>R11*Y11</f>
        <v>4059.2999999999997</v>
      </c>
      <c r="AA11" s="199"/>
      <c r="AB11" s="796">
        <f t="shared" ref="AB11:AB17" si="0">(R11+Z11)*S11</f>
        <v>17590.3</v>
      </c>
      <c r="AC11" s="738"/>
      <c r="AD11" s="738">
        <f>(T11+AB11)*U11</f>
        <v>0</v>
      </c>
      <c r="AE11" s="202"/>
      <c r="AF11" s="202">
        <f>(V11+AD11)*W11</f>
        <v>0</v>
      </c>
      <c r="AG11" s="738">
        <f>7100*S11</f>
        <v>7100</v>
      </c>
      <c r="AH11" s="202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739"/>
      <c r="AY11" s="661"/>
      <c r="AZ11" s="661"/>
      <c r="BA11" s="661"/>
    </row>
    <row r="12" spans="2:53" s="76" customFormat="1" ht="58.5">
      <c r="B12" s="703">
        <v>1</v>
      </c>
      <c r="C12" s="197" t="s">
        <v>1341</v>
      </c>
      <c r="D12" s="198" t="s">
        <v>1731</v>
      </c>
      <c r="E12" s="703" t="s">
        <v>1679</v>
      </c>
      <c r="F12" s="703"/>
      <c r="G12" s="199">
        <f>R11</f>
        <v>13531</v>
      </c>
      <c r="H12" s="735">
        <v>0.44900000000000001</v>
      </c>
      <c r="I12" s="199">
        <f>3195*H12</f>
        <v>1434.5550000000001</v>
      </c>
      <c r="J12" s="718"/>
      <c r="K12" s="703"/>
      <c r="L12" s="703"/>
      <c r="M12" s="737">
        <v>0.15</v>
      </c>
      <c r="N12" s="199">
        <f>(G12+I12)*M12</f>
        <v>2244.8332500000001</v>
      </c>
      <c r="O12" s="736"/>
      <c r="P12" s="703"/>
      <c r="Q12" s="703"/>
      <c r="R12" s="199">
        <f>G12+I12+K12+L12+N12+P12+Q12</f>
        <v>17210.38825</v>
      </c>
      <c r="S12" s="199">
        <v>1</v>
      </c>
      <c r="T12" s="703"/>
      <c r="U12" s="703"/>
      <c r="V12" s="718"/>
      <c r="W12" s="703"/>
      <c r="X12" s="718">
        <v>35</v>
      </c>
      <c r="Y12" s="737">
        <v>0.3</v>
      </c>
      <c r="Z12" s="199">
        <f>R12*Y12*S12</f>
        <v>5163.1164749999998</v>
      </c>
      <c r="AA12" s="199"/>
      <c r="AB12" s="796">
        <f t="shared" si="0"/>
        <v>22373.504724999999</v>
      </c>
      <c r="AC12" s="738"/>
      <c r="AD12" s="738">
        <f t="shared" ref="AD12:AD18" si="1">AB12+AC12</f>
        <v>22373.504724999999</v>
      </c>
      <c r="AE12" s="202">
        <f>AD12</f>
        <v>22373.504724999999</v>
      </c>
      <c r="AF12" s="202">
        <f t="shared" ref="AF12:AF18" si="2">AE12-AB12</f>
        <v>0</v>
      </c>
      <c r="AG12" s="738">
        <f>8000*S12</f>
        <v>8000</v>
      </c>
      <c r="AH12" s="202"/>
      <c r="AI12" s="203">
        <f t="shared" ref="AI12:AI18" si="3">G12*S12</f>
        <v>13531</v>
      </c>
      <c r="AJ12" s="203">
        <f t="shared" ref="AJ12:AJ18" si="4">G12*T12</f>
        <v>0</v>
      </c>
      <c r="AK12" s="203">
        <f>R12*S12</f>
        <v>17210.38825</v>
      </c>
      <c r="AL12" s="203">
        <f>R12*T12</f>
        <v>0</v>
      </c>
      <c r="AM12" s="203">
        <f>AK12-AI12</f>
        <v>3679.38825</v>
      </c>
      <c r="AN12" s="203">
        <f t="shared" ref="AM12:AN18" si="5">AL12-AJ12</f>
        <v>0</v>
      </c>
      <c r="AO12" s="205">
        <f>Z12*S12</f>
        <v>5163.1164749999998</v>
      </c>
      <c r="AP12" s="205">
        <f t="shared" ref="AP12:AP18" si="6">Z12*T12</f>
        <v>0</v>
      </c>
      <c r="AQ12" s="205">
        <f t="shared" ref="AQ12:AQ18" si="7">AA12</f>
        <v>0</v>
      </c>
      <c r="AR12" s="205">
        <f t="shared" ref="AR12:AR18" si="8">W12*S12</f>
        <v>0</v>
      </c>
      <c r="AS12" s="205">
        <f t="shared" ref="AS12:AS18" si="9">W12*T12</f>
        <v>0</v>
      </c>
      <c r="AT12" s="209">
        <f>AK12</f>
        <v>17210.38825</v>
      </c>
      <c r="AU12" s="209">
        <f>AL12</f>
        <v>0</v>
      </c>
      <c r="AV12" s="203"/>
      <c r="AW12" s="251">
        <f>R12*S12</f>
        <v>17210.38825</v>
      </c>
      <c r="AX12" s="739"/>
      <c r="AY12" s="661"/>
      <c r="AZ12" s="661"/>
      <c r="BA12" s="661"/>
    </row>
    <row r="13" spans="2:53" s="76" customFormat="1" ht="58.5">
      <c r="B13" s="703">
        <f>1+B12</f>
        <v>2</v>
      </c>
      <c r="C13" s="197" t="s">
        <v>1342</v>
      </c>
      <c r="D13" s="198" t="s">
        <v>1731</v>
      </c>
      <c r="E13" s="703" t="s">
        <v>1735</v>
      </c>
      <c r="F13" s="703">
        <v>15</v>
      </c>
      <c r="G13" s="199">
        <f>(G12*90%)</f>
        <v>12177.9</v>
      </c>
      <c r="H13" s="735">
        <v>0.44900000000000001</v>
      </c>
      <c r="I13" s="199">
        <f>3195*H13</f>
        <v>1434.5550000000001</v>
      </c>
      <c r="J13" s="718"/>
      <c r="K13" s="703"/>
      <c r="L13" s="703"/>
      <c r="M13" s="737">
        <v>0.15</v>
      </c>
      <c r="N13" s="199">
        <f>(G13+I13)*M13</f>
        <v>2041.86825</v>
      </c>
      <c r="O13" s="736"/>
      <c r="P13" s="703"/>
      <c r="Q13" s="703"/>
      <c r="R13" s="199">
        <f>G13+I13+K13+L13+N13+P13+Q13+0.005</f>
        <v>15654.328249999999</v>
      </c>
      <c r="S13" s="199">
        <v>1</v>
      </c>
      <c r="T13" s="703"/>
      <c r="U13" s="703"/>
      <c r="V13" s="718"/>
      <c r="W13" s="703"/>
      <c r="X13" s="718">
        <v>20</v>
      </c>
      <c r="Y13" s="737">
        <v>0.3</v>
      </c>
      <c r="Z13" s="199">
        <f>R13*Y13*S13</f>
        <v>4696.2984749999996</v>
      </c>
      <c r="AA13" s="199"/>
      <c r="AB13" s="796">
        <f t="shared" si="0"/>
        <v>20350.626724999998</v>
      </c>
      <c r="AC13" s="738"/>
      <c r="AD13" s="738">
        <f t="shared" si="1"/>
        <v>20350.626724999998</v>
      </c>
      <c r="AE13" s="202">
        <f>20000*S13</f>
        <v>20000</v>
      </c>
      <c r="AF13" s="202">
        <f>AE13-AB13</f>
        <v>-350.62672499999826</v>
      </c>
      <c r="AG13" s="738">
        <f>8000*S13</f>
        <v>8000</v>
      </c>
      <c r="AH13" s="202"/>
      <c r="AI13" s="203">
        <f t="shared" si="3"/>
        <v>12177.9</v>
      </c>
      <c r="AJ13" s="203">
        <f t="shared" si="4"/>
        <v>0</v>
      </c>
      <c r="AK13" s="203">
        <f t="shared" ref="AK13:AK18" si="10">R13*S13</f>
        <v>15654.328249999999</v>
      </c>
      <c r="AL13" s="203">
        <f t="shared" ref="AL13:AL18" si="11">R13*T13</f>
        <v>0</v>
      </c>
      <c r="AM13" s="203">
        <f t="shared" si="5"/>
        <v>3476.428249999999</v>
      </c>
      <c r="AN13" s="203">
        <f t="shared" si="5"/>
        <v>0</v>
      </c>
      <c r="AO13" s="205">
        <f t="shared" ref="AO13:AO18" si="12">Z13*S13</f>
        <v>4696.2984749999996</v>
      </c>
      <c r="AP13" s="205">
        <f t="shared" si="6"/>
        <v>0</v>
      </c>
      <c r="AQ13" s="205">
        <f t="shared" si="7"/>
        <v>0</v>
      </c>
      <c r="AR13" s="205">
        <f t="shared" si="8"/>
        <v>0</v>
      </c>
      <c r="AS13" s="205">
        <f t="shared" si="9"/>
        <v>0</v>
      </c>
      <c r="AT13" s="209">
        <f t="shared" ref="AT13:AU78" si="13">AK13</f>
        <v>15654.328249999999</v>
      </c>
      <c r="AU13" s="209">
        <f t="shared" si="13"/>
        <v>0</v>
      </c>
      <c r="AV13" s="203"/>
      <c r="AW13" s="251">
        <f t="shared" ref="AW13:AW24" si="14">R13*S13</f>
        <v>15654.328249999999</v>
      </c>
      <c r="AX13" s="739"/>
      <c r="AY13" s="661"/>
      <c r="AZ13" s="661"/>
      <c r="BA13" s="661"/>
    </row>
    <row r="14" spans="2:53" s="76" customFormat="1" ht="63">
      <c r="B14" s="703">
        <f t="shared" ref="B14:B77" si="15">1+B13</f>
        <v>3</v>
      </c>
      <c r="C14" s="197" t="s">
        <v>1343</v>
      </c>
      <c r="D14" s="198" t="s">
        <v>1761</v>
      </c>
      <c r="E14" s="703" t="s">
        <v>1743</v>
      </c>
      <c r="F14" s="703"/>
      <c r="G14" s="199">
        <f>(G13*85%)</f>
        <v>10351.215</v>
      </c>
      <c r="H14" s="735">
        <v>0.44900000000000001</v>
      </c>
      <c r="I14" s="199">
        <f>3195*H14</f>
        <v>1434.5550000000001</v>
      </c>
      <c r="J14" s="718"/>
      <c r="K14" s="703"/>
      <c r="L14" s="703"/>
      <c r="M14" s="737">
        <v>0.15</v>
      </c>
      <c r="N14" s="199">
        <f>(G14+I14)*M14</f>
        <v>1767.8655000000001</v>
      </c>
      <c r="O14" s="736"/>
      <c r="P14" s="703"/>
      <c r="Q14" s="703"/>
      <c r="R14" s="199">
        <f>G14+I14+K14+L14+N14+P14+Q14</f>
        <v>13553.6355</v>
      </c>
      <c r="S14" s="199">
        <v>1</v>
      </c>
      <c r="T14" s="703"/>
      <c r="U14" s="703"/>
      <c r="V14" s="718"/>
      <c r="W14" s="703"/>
      <c r="X14" s="731">
        <v>25</v>
      </c>
      <c r="Y14" s="737">
        <v>0.3</v>
      </c>
      <c r="Z14" s="199">
        <f>R14*Y14</f>
        <v>4066.0906500000001</v>
      </c>
      <c r="AA14" s="199"/>
      <c r="AB14" s="796">
        <f t="shared" si="0"/>
        <v>17619.726150000002</v>
      </c>
      <c r="AC14" s="738">
        <f>AF14</f>
        <v>2380.2738499999978</v>
      </c>
      <c r="AD14" s="738">
        <f t="shared" si="1"/>
        <v>20000</v>
      </c>
      <c r="AE14" s="202">
        <f>20000*S14</f>
        <v>20000</v>
      </c>
      <c r="AF14" s="202">
        <f>AE14-AB14</f>
        <v>2380.2738499999978</v>
      </c>
      <c r="AG14" s="738">
        <f>8000*S14</f>
        <v>8000</v>
      </c>
      <c r="AH14" s="202"/>
      <c r="AI14" s="203">
        <f t="shared" si="3"/>
        <v>10351.215</v>
      </c>
      <c r="AJ14" s="203">
        <f t="shared" si="4"/>
        <v>0</v>
      </c>
      <c r="AK14" s="203">
        <f t="shared" si="10"/>
        <v>13553.6355</v>
      </c>
      <c r="AL14" s="203">
        <f t="shared" si="11"/>
        <v>0</v>
      </c>
      <c r="AM14" s="203">
        <f>AK14-AI14</f>
        <v>3202.4205000000002</v>
      </c>
      <c r="AN14" s="203">
        <f>AL14-AJ14</f>
        <v>0</v>
      </c>
      <c r="AO14" s="205">
        <f t="shared" si="12"/>
        <v>4066.0906500000001</v>
      </c>
      <c r="AP14" s="205">
        <f t="shared" si="6"/>
        <v>0</v>
      </c>
      <c r="AQ14" s="205">
        <f t="shared" si="7"/>
        <v>0</v>
      </c>
      <c r="AR14" s="205">
        <f t="shared" si="8"/>
        <v>0</v>
      </c>
      <c r="AS14" s="205">
        <f t="shared" si="9"/>
        <v>0</v>
      </c>
      <c r="AT14" s="209">
        <f t="shared" si="13"/>
        <v>13553.6355</v>
      </c>
      <c r="AU14" s="209">
        <f t="shared" si="13"/>
        <v>0</v>
      </c>
      <c r="AV14" s="203"/>
      <c r="AW14" s="251">
        <f t="shared" si="14"/>
        <v>13553.6355</v>
      </c>
      <c r="AX14" s="739"/>
      <c r="AY14" s="661"/>
      <c r="AZ14" s="661"/>
      <c r="BA14" s="661"/>
    </row>
    <row r="15" spans="2:53" s="76" customFormat="1" ht="63" hidden="1" customHeight="1">
      <c r="B15" s="703"/>
      <c r="C15" s="197" t="s">
        <v>1344</v>
      </c>
      <c r="D15" s="198" t="s">
        <v>1732</v>
      </c>
      <c r="E15" s="703"/>
      <c r="F15" s="703"/>
      <c r="G15" s="199"/>
      <c r="H15" s="718"/>
      <c r="I15" s="703"/>
      <c r="J15" s="718"/>
      <c r="K15" s="703"/>
      <c r="L15" s="703"/>
      <c r="M15" s="737">
        <v>0.15</v>
      </c>
      <c r="N15" s="199">
        <f>(G15+I15)*M15</f>
        <v>0</v>
      </c>
      <c r="O15" s="736"/>
      <c r="P15" s="703"/>
      <c r="Q15" s="703"/>
      <c r="R15" s="199">
        <f>G15+I15+K15+L15+N15+P15+Q15</f>
        <v>0</v>
      </c>
      <c r="S15" s="199"/>
      <c r="T15" s="703"/>
      <c r="U15" s="703"/>
      <c r="V15" s="718"/>
      <c r="W15" s="703"/>
      <c r="X15" s="718"/>
      <c r="Y15" s="718"/>
      <c r="Z15" s="703"/>
      <c r="AA15" s="199"/>
      <c r="AB15" s="796">
        <f t="shared" si="0"/>
        <v>0</v>
      </c>
      <c r="AC15" s="738"/>
      <c r="AD15" s="738">
        <f t="shared" si="1"/>
        <v>0</v>
      </c>
      <c r="AE15" s="202">
        <f>AD15</f>
        <v>0</v>
      </c>
      <c r="AF15" s="202">
        <f t="shared" si="2"/>
        <v>0</v>
      </c>
      <c r="AG15" s="738"/>
      <c r="AH15" s="202"/>
      <c r="AI15" s="203">
        <f t="shared" si="3"/>
        <v>0</v>
      </c>
      <c r="AJ15" s="203">
        <f t="shared" si="4"/>
        <v>0</v>
      </c>
      <c r="AK15" s="203">
        <f t="shared" si="10"/>
        <v>0</v>
      </c>
      <c r="AL15" s="203">
        <f t="shared" si="11"/>
        <v>0</v>
      </c>
      <c r="AM15" s="203">
        <f t="shared" si="5"/>
        <v>0</v>
      </c>
      <c r="AN15" s="203">
        <f t="shared" si="5"/>
        <v>0</v>
      </c>
      <c r="AO15" s="205">
        <f t="shared" si="12"/>
        <v>0</v>
      </c>
      <c r="AP15" s="205">
        <f t="shared" si="6"/>
        <v>0</v>
      </c>
      <c r="AQ15" s="205">
        <f t="shared" si="7"/>
        <v>0</v>
      </c>
      <c r="AR15" s="205">
        <f t="shared" si="8"/>
        <v>0</v>
      </c>
      <c r="AS15" s="205">
        <f t="shared" si="9"/>
        <v>0</v>
      </c>
      <c r="AT15" s="209">
        <f t="shared" si="13"/>
        <v>0</v>
      </c>
      <c r="AU15" s="209">
        <f t="shared" si="13"/>
        <v>0</v>
      </c>
      <c r="AV15" s="203"/>
      <c r="AW15" s="251">
        <f t="shared" si="14"/>
        <v>0</v>
      </c>
      <c r="AX15" s="740"/>
      <c r="AY15" s="661"/>
      <c r="AZ15" s="661"/>
      <c r="BA15" s="661"/>
    </row>
    <row r="16" spans="2:53" s="76" customFormat="1" ht="33">
      <c r="B16" s="703">
        <f>B14+1</f>
        <v>4</v>
      </c>
      <c r="C16" s="197" t="s">
        <v>1221</v>
      </c>
      <c r="D16" s="198" t="s">
        <v>1732</v>
      </c>
      <c r="E16" s="703" t="s">
        <v>1222</v>
      </c>
      <c r="F16" s="206">
        <v>15</v>
      </c>
      <c r="G16" s="199">
        <f>G12*90%</f>
        <v>12177.9</v>
      </c>
      <c r="H16" s="736"/>
      <c r="I16" s="199"/>
      <c r="J16" s="741"/>
      <c r="K16" s="206"/>
      <c r="L16" s="206"/>
      <c r="M16" s="737">
        <v>0.15</v>
      </c>
      <c r="N16" s="199">
        <f>(G16+I16)*M16</f>
        <v>1826.6849999999999</v>
      </c>
      <c r="O16" s="737"/>
      <c r="P16" s="206"/>
      <c r="Q16" s="206"/>
      <c r="R16" s="199">
        <f>G16+I16+K16+L16+N16+P16+Q16+0.004</f>
        <v>14004.589</v>
      </c>
      <c r="S16" s="199">
        <v>1</v>
      </c>
      <c r="T16" s="206"/>
      <c r="U16" s="206"/>
      <c r="V16" s="741"/>
      <c r="W16" s="206"/>
      <c r="X16" s="718"/>
      <c r="Y16" s="737"/>
      <c r="Z16" s="199"/>
      <c r="AA16" s="199"/>
      <c r="AB16" s="796">
        <f t="shared" si="0"/>
        <v>14004.589</v>
      </c>
      <c r="AC16" s="738">
        <f>AF16</f>
        <v>0</v>
      </c>
      <c r="AD16" s="738">
        <f t="shared" si="1"/>
        <v>14004.589</v>
      </c>
      <c r="AE16" s="202">
        <f>AB16</f>
        <v>14004.589</v>
      </c>
      <c r="AF16" s="202">
        <f t="shared" si="2"/>
        <v>0</v>
      </c>
      <c r="AG16" s="738">
        <f>8000*S16</f>
        <v>8000</v>
      </c>
      <c r="AH16" s="202"/>
      <c r="AI16" s="209">
        <f t="shared" si="3"/>
        <v>12177.9</v>
      </c>
      <c r="AJ16" s="209">
        <f t="shared" si="4"/>
        <v>0</v>
      </c>
      <c r="AK16" s="209">
        <f t="shared" si="10"/>
        <v>14004.589</v>
      </c>
      <c r="AL16" s="209">
        <f t="shared" si="11"/>
        <v>0</v>
      </c>
      <c r="AM16" s="209">
        <f>AK16-AI16</f>
        <v>1826.6890000000003</v>
      </c>
      <c r="AN16" s="209">
        <f>AL16-AJ16</f>
        <v>0</v>
      </c>
      <c r="AO16" s="209">
        <f t="shared" si="12"/>
        <v>0</v>
      </c>
      <c r="AP16" s="209">
        <f t="shared" si="6"/>
        <v>0</v>
      </c>
      <c r="AQ16" s="205">
        <f t="shared" si="7"/>
        <v>0</v>
      </c>
      <c r="AR16" s="205">
        <f t="shared" si="8"/>
        <v>0</v>
      </c>
      <c r="AS16" s="205">
        <f t="shared" si="9"/>
        <v>0</v>
      </c>
      <c r="AT16" s="209">
        <f>AK16</f>
        <v>14004.589</v>
      </c>
      <c r="AU16" s="209">
        <f>AL16</f>
        <v>0</v>
      </c>
      <c r="AV16" s="209"/>
      <c r="AW16" s="251">
        <f t="shared" si="14"/>
        <v>14004.589</v>
      </c>
      <c r="AX16" s="740"/>
      <c r="AY16" s="661"/>
      <c r="AZ16" s="661"/>
      <c r="BA16" s="661"/>
    </row>
    <row r="17" spans="2:53" s="76" customFormat="1" ht="63">
      <c r="B17" s="703">
        <f t="shared" si="15"/>
        <v>5</v>
      </c>
      <c r="C17" s="197" t="s">
        <v>1062</v>
      </c>
      <c r="D17" s="198" t="s">
        <v>1361</v>
      </c>
      <c r="E17" s="703" t="s">
        <v>1063</v>
      </c>
      <c r="F17" s="703">
        <v>11</v>
      </c>
      <c r="G17" s="199">
        <v>6294</v>
      </c>
      <c r="H17" s="735">
        <v>0.28299999999999997</v>
      </c>
      <c r="I17" s="199">
        <f>3195*H17</f>
        <v>904.18499999999995</v>
      </c>
      <c r="J17" s="741"/>
      <c r="K17" s="206"/>
      <c r="L17" s="206"/>
      <c r="M17" s="737">
        <v>0.15</v>
      </c>
      <c r="N17" s="199">
        <f>(G17*M17)</f>
        <v>944.09999999999991</v>
      </c>
      <c r="O17" s="736"/>
      <c r="P17" s="206"/>
      <c r="Q17" s="206"/>
      <c r="R17" s="199">
        <f>G17+I17+K17+L17+N17+P17+Q17</f>
        <v>8142.2849999999999</v>
      </c>
      <c r="S17" s="199">
        <v>1</v>
      </c>
      <c r="T17" s="206"/>
      <c r="U17" s="206"/>
      <c r="V17" s="741"/>
      <c r="W17" s="206"/>
      <c r="X17" s="718">
        <v>28</v>
      </c>
      <c r="Y17" s="737">
        <v>0.3</v>
      </c>
      <c r="Z17" s="199">
        <f>R17*Y17*S17</f>
        <v>2442.6855</v>
      </c>
      <c r="AA17" s="199"/>
      <c r="AB17" s="796">
        <f t="shared" si="0"/>
        <v>10584.970499999999</v>
      </c>
      <c r="AC17" s="738">
        <f>AF17</f>
        <v>2915.0295000000006</v>
      </c>
      <c r="AD17" s="738">
        <f t="shared" si="1"/>
        <v>13500</v>
      </c>
      <c r="AE17" s="202">
        <f>13500*S17</f>
        <v>13500</v>
      </c>
      <c r="AF17" s="202">
        <f t="shared" si="2"/>
        <v>2915.0295000000006</v>
      </c>
      <c r="AG17" s="738">
        <f>8000*S17</f>
        <v>8000</v>
      </c>
      <c r="AH17" s="202"/>
      <c r="AI17" s="203">
        <f t="shared" si="3"/>
        <v>6294</v>
      </c>
      <c r="AJ17" s="203">
        <f t="shared" si="4"/>
        <v>0</v>
      </c>
      <c r="AK17" s="203">
        <f t="shared" si="10"/>
        <v>8142.2849999999999</v>
      </c>
      <c r="AL17" s="203">
        <f t="shared" si="11"/>
        <v>0</v>
      </c>
      <c r="AM17" s="203">
        <f>AK17-AI17</f>
        <v>1848.2849999999999</v>
      </c>
      <c r="AN17" s="203">
        <f t="shared" si="5"/>
        <v>0</v>
      </c>
      <c r="AO17" s="205">
        <f t="shared" si="12"/>
        <v>2442.6855</v>
      </c>
      <c r="AP17" s="205">
        <f t="shared" si="6"/>
        <v>0</v>
      </c>
      <c r="AQ17" s="205">
        <f t="shared" si="7"/>
        <v>0</v>
      </c>
      <c r="AR17" s="205">
        <f t="shared" si="8"/>
        <v>0</v>
      </c>
      <c r="AS17" s="205">
        <f t="shared" si="9"/>
        <v>0</v>
      </c>
      <c r="AT17" s="209">
        <f t="shared" si="13"/>
        <v>8142.2849999999999</v>
      </c>
      <c r="AU17" s="209">
        <f t="shared" si="13"/>
        <v>0</v>
      </c>
      <c r="AV17" s="203"/>
      <c r="AW17" s="251">
        <f t="shared" si="14"/>
        <v>8142.2849999999999</v>
      </c>
      <c r="AX17" s="739"/>
      <c r="AY17" s="661"/>
      <c r="AZ17" s="661"/>
      <c r="BA17" s="661"/>
    </row>
    <row r="18" spans="2:53" s="76" customFormat="1" ht="33">
      <c r="B18" s="703">
        <f t="shared" si="15"/>
        <v>6</v>
      </c>
      <c r="C18" s="197" t="s">
        <v>1240</v>
      </c>
      <c r="D18" s="198"/>
      <c r="E18" s="703" t="s">
        <v>1241</v>
      </c>
      <c r="F18" s="703">
        <v>6</v>
      </c>
      <c r="G18" s="199">
        <v>4633</v>
      </c>
      <c r="H18" s="736"/>
      <c r="I18" s="199"/>
      <c r="J18" s="736"/>
      <c r="K18" s="199"/>
      <c r="L18" s="199"/>
      <c r="M18" s="736"/>
      <c r="N18" s="199"/>
      <c r="O18" s="736"/>
      <c r="P18" s="199"/>
      <c r="Q18" s="199"/>
      <c r="R18" s="199">
        <f>G18+I18+K18+L18+N18+P18+Q18</f>
        <v>4633</v>
      </c>
      <c r="S18" s="199">
        <v>1</v>
      </c>
      <c r="T18" s="199"/>
      <c r="U18" s="206"/>
      <c r="V18" s="741"/>
      <c r="W18" s="206"/>
      <c r="X18" s="718"/>
      <c r="Y18" s="737"/>
      <c r="Z18" s="199"/>
      <c r="AA18" s="199">
        <f>AH18</f>
        <v>3367</v>
      </c>
      <c r="AB18" s="796">
        <f>(R18+AA18)*S18</f>
        <v>8000</v>
      </c>
      <c r="AC18" s="738">
        <f>AF18</f>
        <v>0</v>
      </c>
      <c r="AD18" s="738">
        <f t="shared" si="1"/>
        <v>8000</v>
      </c>
      <c r="AE18" s="202">
        <f>AB18</f>
        <v>8000</v>
      </c>
      <c r="AF18" s="202">
        <f t="shared" si="2"/>
        <v>0</v>
      </c>
      <c r="AG18" s="738">
        <f>8000*S18</f>
        <v>8000</v>
      </c>
      <c r="AH18" s="202">
        <f>AG18-(R18*S18)</f>
        <v>3367</v>
      </c>
      <c r="AI18" s="203">
        <f t="shared" si="3"/>
        <v>4633</v>
      </c>
      <c r="AJ18" s="203">
        <f t="shared" si="4"/>
        <v>0</v>
      </c>
      <c r="AK18" s="203">
        <f t="shared" si="10"/>
        <v>4633</v>
      </c>
      <c r="AL18" s="203">
        <f t="shared" si="11"/>
        <v>0</v>
      </c>
      <c r="AM18" s="203">
        <f>AK18-AI18</f>
        <v>0</v>
      </c>
      <c r="AN18" s="203">
        <f t="shared" si="5"/>
        <v>0</v>
      </c>
      <c r="AO18" s="205">
        <f t="shared" si="12"/>
        <v>0</v>
      </c>
      <c r="AP18" s="205">
        <f t="shared" si="6"/>
        <v>0</v>
      </c>
      <c r="AQ18" s="205">
        <f t="shared" si="7"/>
        <v>3367</v>
      </c>
      <c r="AR18" s="205">
        <f t="shared" si="8"/>
        <v>0</v>
      </c>
      <c r="AS18" s="205">
        <f t="shared" si="9"/>
        <v>0</v>
      </c>
      <c r="AT18" s="209">
        <f t="shared" si="13"/>
        <v>4633</v>
      </c>
      <c r="AU18" s="209">
        <f t="shared" si="13"/>
        <v>0</v>
      </c>
      <c r="AV18" s="203"/>
      <c r="AW18" s="251">
        <f t="shared" si="14"/>
        <v>4633</v>
      </c>
      <c r="AX18" s="251">
        <f>13500*S18-AB18</f>
        <v>5500</v>
      </c>
      <c r="AY18" s="661"/>
      <c r="AZ18" s="661"/>
      <c r="BA18" s="661"/>
    </row>
    <row r="19" spans="2:53" s="76" customFormat="1" ht="31.5">
      <c r="B19" s="703"/>
      <c r="C19" s="180" t="s">
        <v>1736</v>
      </c>
      <c r="D19" s="207"/>
      <c r="E19" s="193"/>
      <c r="F19" s="193"/>
      <c r="G19" s="183">
        <f>SUM(G12:G18)</f>
        <v>59165.015000000007</v>
      </c>
      <c r="H19" s="742"/>
      <c r="I19" s="183">
        <f>SUM(I12:I18)</f>
        <v>5207.8500000000004</v>
      </c>
      <c r="J19" s="742"/>
      <c r="K19" s="183"/>
      <c r="L19" s="183"/>
      <c r="M19" s="742"/>
      <c r="N19" s="183">
        <f>SUM(N12:N18)</f>
        <v>8825.3520000000008</v>
      </c>
      <c r="O19" s="742"/>
      <c r="P19" s="183"/>
      <c r="Q19" s="183"/>
      <c r="R19" s="183">
        <f>SUM(R12:R18)</f>
        <v>73198.225999999995</v>
      </c>
      <c r="S19" s="183">
        <f>SUM(S12:S18)</f>
        <v>6</v>
      </c>
      <c r="T19" s="183">
        <f>SUM(T12:T18)</f>
        <v>0</v>
      </c>
      <c r="U19" s="183"/>
      <c r="V19" s="742"/>
      <c r="W19" s="183"/>
      <c r="X19" s="742"/>
      <c r="Y19" s="742"/>
      <c r="Z19" s="184">
        <f t="shared" ref="Z19:AG19" si="16">SUM(Z12:Z18)</f>
        <v>16368.191099999998</v>
      </c>
      <c r="AA19" s="183">
        <f t="shared" si="16"/>
        <v>3367</v>
      </c>
      <c r="AB19" s="797">
        <f t="shared" si="16"/>
        <v>92933.417099999991</v>
      </c>
      <c r="AC19" s="183">
        <f t="shared" si="16"/>
        <v>5295.3033499999983</v>
      </c>
      <c r="AD19" s="183">
        <f t="shared" si="16"/>
        <v>98228.720449999993</v>
      </c>
      <c r="AE19" s="183">
        <f t="shared" si="16"/>
        <v>97878.093724999999</v>
      </c>
      <c r="AF19" s="183">
        <f t="shared" si="16"/>
        <v>4944.6766250000001</v>
      </c>
      <c r="AG19" s="183">
        <f t="shared" si="16"/>
        <v>48000</v>
      </c>
      <c r="AH19" s="183">
        <f t="shared" ref="AH19:AV19" si="17">SUM(AH12:AH18)</f>
        <v>3367</v>
      </c>
      <c r="AI19" s="183">
        <f t="shared" si="17"/>
        <v>59165.015000000007</v>
      </c>
      <c r="AJ19" s="183">
        <f t="shared" si="17"/>
        <v>0</v>
      </c>
      <c r="AK19" s="183">
        <f t="shared" si="17"/>
        <v>73198.225999999995</v>
      </c>
      <c r="AL19" s="183">
        <f t="shared" si="17"/>
        <v>0</v>
      </c>
      <c r="AM19" s="183">
        <f t="shared" si="17"/>
        <v>14033.210999999999</v>
      </c>
      <c r="AN19" s="183">
        <f t="shared" si="17"/>
        <v>0</v>
      </c>
      <c r="AO19" s="183">
        <f t="shared" si="17"/>
        <v>16368.191099999998</v>
      </c>
      <c r="AP19" s="183">
        <f t="shared" si="17"/>
        <v>0</v>
      </c>
      <c r="AQ19" s="183">
        <f t="shared" si="17"/>
        <v>3367</v>
      </c>
      <c r="AR19" s="183">
        <f t="shared" si="17"/>
        <v>0</v>
      </c>
      <c r="AS19" s="183">
        <f t="shared" si="17"/>
        <v>0</v>
      </c>
      <c r="AT19" s="183">
        <f t="shared" si="17"/>
        <v>73198.225999999995</v>
      </c>
      <c r="AU19" s="183">
        <f t="shared" si="17"/>
        <v>0</v>
      </c>
      <c r="AV19" s="183">
        <f t="shared" si="17"/>
        <v>0</v>
      </c>
      <c r="AW19" s="183">
        <f>SUM(AW12:AW18)</f>
        <v>73198.225999999995</v>
      </c>
      <c r="AX19" s="183">
        <f>SUM(AX12:AX18)</f>
        <v>5500</v>
      </c>
      <c r="AY19" s="661"/>
      <c r="AZ19" s="661"/>
      <c r="BA19" s="661"/>
    </row>
    <row r="20" spans="2:53" s="76" customFormat="1" ht="33">
      <c r="B20" s="703"/>
      <c r="C20" s="191" t="s">
        <v>1878</v>
      </c>
      <c r="D20" s="192"/>
      <c r="E20" s="193"/>
      <c r="F20" s="193"/>
      <c r="G20" s="193"/>
      <c r="H20" s="731"/>
      <c r="I20" s="193"/>
      <c r="J20" s="731"/>
      <c r="K20" s="193"/>
      <c r="L20" s="193"/>
      <c r="M20" s="731"/>
      <c r="N20" s="193"/>
      <c r="O20" s="731"/>
      <c r="P20" s="193"/>
      <c r="Q20" s="193"/>
      <c r="R20" s="193"/>
      <c r="S20" s="193"/>
      <c r="T20" s="193"/>
      <c r="U20" s="193"/>
      <c r="V20" s="732"/>
      <c r="W20" s="193"/>
      <c r="X20" s="732"/>
      <c r="Y20" s="732"/>
      <c r="Z20" s="193"/>
      <c r="AA20" s="193"/>
      <c r="AB20" s="795"/>
      <c r="AC20" s="195"/>
      <c r="AD20" s="195"/>
      <c r="AE20" s="195"/>
      <c r="AF20" s="195"/>
      <c r="AG20" s="195"/>
      <c r="AH20" s="195"/>
      <c r="AI20" s="203">
        <f>G20*S20</f>
        <v>0</v>
      </c>
      <c r="AJ20" s="203">
        <f t="shared" ref="AJ20:AJ25" si="18">G20*T20</f>
        <v>0</v>
      </c>
      <c r="AK20" s="203">
        <f>R20*S20</f>
        <v>0</v>
      </c>
      <c r="AL20" s="203">
        <f t="shared" ref="AL20:AL26" si="19">R20*T20</f>
        <v>0</v>
      </c>
      <c r="AM20" s="203">
        <f t="shared" ref="AM20:AN26" si="20">AK20-AI20</f>
        <v>0</v>
      </c>
      <c r="AN20" s="203">
        <f t="shared" si="20"/>
        <v>0</v>
      </c>
      <c r="AO20" s="205">
        <f>Z20*S20</f>
        <v>0</v>
      </c>
      <c r="AP20" s="205">
        <f t="shared" ref="AP20:AP25" si="21">Z20*T20</f>
        <v>0</v>
      </c>
      <c r="AQ20" s="205">
        <f t="shared" ref="AQ20:AQ26" si="22">AA20</f>
        <v>0</v>
      </c>
      <c r="AR20" s="205">
        <f>W20*S20</f>
        <v>0</v>
      </c>
      <c r="AS20" s="205">
        <f t="shared" ref="AS20:AS25" si="23">W20*T20</f>
        <v>0</v>
      </c>
      <c r="AT20" s="209"/>
      <c r="AU20" s="209"/>
      <c r="AV20" s="203"/>
      <c r="AW20" s="251"/>
      <c r="AX20" s="251"/>
      <c r="AY20" s="661"/>
      <c r="AZ20" s="661"/>
      <c r="BA20" s="661"/>
    </row>
    <row r="21" spans="2:53" s="76" customFormat="1" ht="33">
      <c r="B21" s="703">
        <f>B18+1</f>
        <v>7</v>
      </c>
      <c r="C21" s="197" t="s">
        <v>1223</v>
      </c>
      <c r="D21" s="198" t="s">
        <v>1732</v>
      </c>
      <c r="E21" s="703" t="s">
        <v>1821</v>
      </c>
      <c r="F21" s="206">
        <v>15</v>
      </c>
      <c r="G21" s="199">
        <f>G16*90%</f>
        <v>10960.11</v>
      </c>
      <c r="H21" s="736"/>
      <c r="I21" s="199"/>
      <c r="J21" s="736"/>
      <c r="K21" s="199"/>
      <c r="L21" s="199"/>
      <c r="M21" s="737">
        <v>0.15</v>
      </c>
      <c r="N21" s="199">
        <f>(G21+I21)*M21</f>
        <v>1644.0165</v>
      </c>
      <c r="O21" s="737"/>
      <c r="P21" s="199"/>
      <c r="Q21" s="199"/>
      <c r="R21" s="199">
        <f t="shared" ref="R21:R26" si="24">G21+I21+K21+L21+N21+P21+Q21</f>
        <v>12604.1265</v>
      </c>
      <c r="S21" s="199">
        <v>1</v>
      </c>
      <c r="T21" s="206"/>
      <c r="U21" s="206"/>
      <c r="V21" s="741"/>
      <c r="W21" s="206"/>
      <c r="X21" s="718"/>
      <c r="Y21" s="737"/>
      <c r="Z21" s="199"/>
      <c r="AA21" s="199"/>
      <c r="AB21" s="796">
        <f>(R21+Z21)*S21</f>
        <v>12604.1265</v>
      </c>
      <c r="AC21" s="738">
        <f t="shared" ref="AC21:AC26" si="25">AF21</f>
        <v>0</v>
      </c>
      <c r="AD21" s="738">
        <f t="shared" ref="AD21:AD26" si="26">AB21+AC21</f>
        <v>12604.1265</v>
      </c>
      <c r="AE21" s="202">
        <f t="shared" ref="AE21:AE26" si="27">AB21</f>
        <v>12604.1265</v>
      </c>
      <c r="AF21" s="202">
        <f t="shared" ref="AF21:AF26" si="28">AE21-AB21</f>
        <v>0</v>
      </c>
      <c r="AG21" s="738">
        <f>8000*S21</f>
        <v>8000</v>
      </c>
      <c r="AH21" s="202"/>
      <c r="AI21" s="209">
        <f>G21*S21</f>
        <v>10960.11</v>
      </c>
      <c r="AJ21" s="209">
        <f t="shared" si="18"/>
        <v>0</v>
      </c>
      <c r="AK21" s="209">
        <f>R21*S21</f>
        <v>12604.1265</v>
      </c>
      <c r="AL21" s="209">
        <f t="shared" si="19"/>
        <v>0</v>
      </c>
      <c r="AM21" s="209">
        <f t="shared" si="20"/>
        <v>1644.0164999999997</v>
      </c>
      <c r="AN21" s="209">
        <f t="shared" si="20"/>
        <v>0</v>
      </c>
      <c r="AO21" s="209">
        <f>Z21*S21</f>
        <v>0</v>
      </c>
      <c r="AP21" s="209">
        <f t="shared" si="21"/>
        <v>0</v>
      </c>
      <c r="AQ21" s="205">
        <f t="shared" si="22"/>
        <v>0</v>
      </c>
      <c r="AR21" s="205">
        <f>W21*S21</f>
        <v>0</v>
      </c>
      <c r="AS21" s="205">
        <f t="shared" si="23"/>
        <v>0</v>
      </c>
      <c r="AT21" s="209">
        <f t="shared" si="13"/>
        <v>12604.1265</v>
      </c>
      <c r="AU21" s="209">
        <f t="shared" si="13"/>
        <v>0</v>
      </c>
      <c r="AV21" s="209"/>
      <c r="AW21" s="251">
        <f t="shared" si="14"/>
        <v>12604.1265</v>
      </c>
      <c r="AX21" s="251">
        <f>13500*S21-AB21</f>
        <v>895.87349999999969</v>
      </c>
      <c r="AY21" s="661"/>
      <c r="AZ21" s="661"/>
      <c r="BA21" s="661"/>
    </row>
    <row r="22" spans="2:53" s="76" customFormat="1" ht="33">
      <c r="B22" s="703">
        <f t="shared" si="15"/>
        <v>8</v>
      </c>
      <c r="C22" s="197" t="s">
        <v>137</v>
      </c>
      <c r="D22" s="198"/>
      <c r="E22" s="703" t="s">
        <v>138</v>
      </c>
      <c r="F22" s="703">
        <v>7</v>
      </c>
      <c r="G22" s="199">
        <v>4920</v>
      </c>
      <c r="H22" s="736"/>
      <c r="I22" s="199"/>
      <c r="J22" s="736"/>
      <c r="K22" s="199"/>
      <c r="L22" s="199"/>
      <c r="M22" s="736"/>
      <c r="N22" s="199"/>
      <c r="O22" s="736"/>
      <c r="P22" s="199"/>
      <c r="Q22" s="199"/>
      <c r="R22" s="199">
        <f t="shared" si="24"/>
        <v>4920</v>
      </c>
      <c r="S22" s="199">
        <v>1</v>
      </c>
      <c r="T22" s="206"/>
      <c r="U22" s="206"/>
      <c r="V22" s="741"/>
      <c r="W22" s="206"/>
      <c r="X22" s="718"/>
      <c r="Y22" s="737"/>
      <c r="Z22" s="199"/>
      <c r="AA22" s="199">
        <f>AH22</f>
        <v>3080</v>
      </c>
      <c r="AB22" s="796">
        <f>(R22+AA22)*S22</f>
        <v>8000</v>
      </c>
      <c r="AC22" s="738">
        <f t="shared" si="25"/>
        <v>0</v>
      </c>
      <c r="AD22" s="738">
        <f t="shared" si="26"/>
        <v>8000</v>
      </c>
      <c r="AE22" s="202">
        <f t="shared" si="27"/>
        <v>8000</v>
      </c>
      <c r="AF22" s="202">
        <f t="shared" si="28"/>
        <v>0</v>
      </c>
      <c r="AG22" s="738">
        <f>8000*S22</f>
        <v>8000</v>
      </c>
      <c r="AH22" s="202">
        <f>AG22-(R22*S22)</f>
        <v>3080</v>
      </c>
      <c r="AI22" s="203">
        <f>G22*S22</f>
        <v>4920</v>
      </c>
      <c r="AJ22" s="203">
        <f t="shared" si="18"/>
        <v>0</v>
      </c>
      <c r="AK22" s="203">
        <f>R22*S22</f>
        <v>4920</v>
      </c>
      <c r="AL22" s="203">
        <f t="shared" si="19"/>
        <v>0</v>
      </c>
      <c r="AM22" s="203">
        <f t="shared" si="20"/>
        <v>0</v>
      </c>
      <c r="AN22" s="203">
        <f t="shared" si="20"/>
        <v>0</v>
      </c>
      <c r="AO22" s="205">
        <f>Z22*S22</f>
        <v>0</v>
      </c>
      <c r="AP22" s="205">
        <f t="shared" si="21"/>
        <v>0</v>
      </c>
      <c r="AQ22" s="205">
        <f t="shared" si="22"/>
        <v>3080</v>
      </c>
      <c r="AR22" s="205">
        <f>W22*S22</f>
        <v>0</v>
      </c>
      <c r="AS22" s="205">
        <f t="shared" si="23"/>
        <v>0</v>
      </c>
      <c r="AT22" s="209">
        <f t="shared" si="13"/>
        <v>4920</v>
      </c>
      <c r="AU22" s="209">
        <f t="shared" si="13"/>
        <v>0</v>
      </c>
      <c r="AV22" s="203"/>
      <c r="AW22" s="251">
        <f t="shared" si="14"/>
        <v>4920</v>
      </c>
      <c r="AX22" s="251">
        <f>13500*S22-AB22</f>
        <v>5500</v>
      </c>
      <c r="AY22" s="661"/>
      <c r="AZ22" s="661"/>
      <c r="BA22" s="661"/>
    </row>
    <row r="23" spans="2:53" s="76" customFormat="1" ht="33">
      <c r="B23" s="703">
        <f t="shared" si="15"/>
        <v>9</v>
      </c>
      <c r="C23" s="197" t="s">
        <v>1224</v>
      </c>
      <c r="D23" s="198"/>
      <c r="E23" s="703" t="s">
        <v>139</v>
      </c>
      <c r="F23" s="703">
        <v>7</v>
      </c>
      <c r="G23" s="199">
        <v>4920</v>
      </c>
      <c r="H23" s="736"/>
      <c r="I23" s="199"/>
      <c r="J23" s="736"/>
      <c r="K23" s="199"/>
      <c r="L23" s="199"/>
      <c r="M23" s="736"/>
      <c r="N23" s="199"/>
      <c r="O23" s="736"/>
      <c r="P23" s="199"/>
      <c r="Q23" s="199"/>
      <c r="R23" s="199">
        <f t="shared" si="24"/>
        <v>4920</v>
      </c>
      <c r="S23" s="199">
        <v>1</v>
      </c>
      <c r="T23" s="206"/>
      <c r="U23" s="206"/>
      <c r="V23" s="741"/>
      <c r="W23" s="206"/>
      <c r="X23" s="718"/>
      <c r="Y23" s="737"/>
      <c r="Z23" s="199"/>
      <c r="AA23" s="199">
        <f>AH23</f>
        <v>3080</v>
      </c>
      <c r="AB23" s="796">
        <f>(R23+AA23)*S23</f>
        <v>8000</v>
      </c>
      <c r="AC23" s="738">
        <f t="shared" si="25"/>
        <v>0</v>
      </c>
      <c r="AD23" s="738">
        <f t="shared" si="26"/>
        <v>8000</v>
      </c>
      <c r="AE23" s="202">
        <f t="shared" si="27"/>
        <v>8000</v>
      </c>
      <c r="AF23" s="202">
        <f t="shared" si="28"/>
        <v>0</v>
      </c>
      <c r="AG23" s="738">
        <f>8000*S23</f>
        <v>8000</v>
      </c>
      <c r="AH23" s="202">
        <f>AG23-(R23*S23)</f>
        <v>3080</v>
      </c>
      <c r="AI23" s="203">
        <f>G23*S23</f>
        <v>4920</v>
      </c>
      <c r="AJ23" s="203">
        <f t="shared" si="18"/>
        <v>0</v>
      </c>
      <c r="AK23" s="203">
        <f>R23*S23</f>
        <v>4920</v>
      </c>
      <c r="AL23" s="203">
        <f t="shared" si="19"/>
        <v>0</v>
      </c>
      <c r="AM23" s="203">
        <f t="shared" si="20"/>
        <v>0</v>
      </c>
      <c r="AN23" s="203">
        <f t="shared" si="20"/>
        <v>0</v>
      </c>
      <c r="AO23" s="205">
        <f>Z23*S23</f>
        <v>0</v>
      </c>
      <c r="AP23" s="205">
        <f t="shared" si="21"/>
        <v>0</v>
      </c>
      <c r="AQ23" s="205">
        <f t="shared" si="22"/>
        <v>3080</v>
      </c>
      <c r="AR23" s="205">
        <f>W23*S23</f>
        <v>0</v>
      </c>
      <c r="AS23" s="205">
        <f t="shared" si="23"/>
        <v>0</v>
      </c>
      <c r="AT23" s="209">
        <f>AK23</f>
        <v>4920</v>
      </c>
      <c r="AU23" s="209">
        <f t="shared" si="13"/>
        <v>0</v>
      </c>
      <c r="AV23" s="203"/>
      <c r="AW23" s="251">
        <f t="shared" si="14"/>
        <v>4920</v>
      </c>
      <c r="AX23" s="251">
        <f>13500*S23-AB23</f>
        <v>5500</v>
      </c>
      <c r="AY23" s="661"/>
      <c r="AZ23" s="661"/>
      <c r="BA23" s="661"/>
    </row>
    <row r="24" spans="2:53" s="78" customFormat="1" ht="33">
      <c r="B24" s="703">
        <f t="shared" si="15"/>
        <v>10</v>
      </c>
      <c r="C24" s="197" t="s">
        <v>1226</v>
      </c>
      <c r="D24" s="198"/>
      <c r="E24" s="703" t="s">
        <v>140</v>
      </c>
      <c r="F24" s="703">
        <v>7</v>
      </c>
      <c r="G24" s="199">
        <v>4920</v>
      </c>
      <c r="H24" s="736"/>
      <c r="I24" s="199"/>
      <c r="J24" s="736"/>
      <c r="K24" s="199"/>
      <c r="L24" s="199"/>
      <c r="M24" s="736"/>
      <c r="N24" s="199"/>
      <c r="O24" s="736"/>
      <c r="P24" s="199"/>
      <c r="Q24" s="199"/>
      <c r="R24" s="199">
        <f t="shared" si="24"/>
        <v>4920</v>
      </c>
      <c r="S24" s="199">
        <v>1</v>
      </c>
      <c r="T24" s="206"/>
      <c r="U24" s="206"/>
      <c r="V24" s="741"/>
      <c r="W24" s="206"/>
      <c r="X24" s="718"/>
      <c r="Y24" s="737"/>
      <c r="Z24" s="199"/>
      <c r="AA24" s="199">
        <f>AH24</f>
        <v>3080</v>
      </c>
      <c r="AB24" s="796">
        <f>(R24+AA24)*S24</f>
        <v>8000</v>
      </c>
      <c r="AC24" s="738">
        <f t="shared" si="25"/>
        <v>0</v>
      </c>
      <c r="AD24" s="738">
        <f t="shared" si="26"/>
        <v>8000</v>
      </c>
      <c r="AE24" s="202">
        <f t="shared" si="27"/>
        <v>8000</v>
      </c>
      <c r="AF24" s="202">
        <f t="shared" si="28"/>
        <v>0</v>
      </c>
      <c r="AG24" s="738">
        <f>8000*S24</f>
        <v>8000</v>
      </c>
      <c r="AH24" s="202">
        <f>AG24-(R24*S24)</f>
        <v>3080</v>
      </c>
      <c r="AI24" s="203">
        <f>G24*S24</f>
        <v>4920</v>
      </c>
      <c r="AJ24" s="203">
        <f t="shared" si="18"/>
        <v>0</v>
      </c>
      <c r="AK24" s="203">
        <f>R24*S24</f>
        <v>4920</v>
      </c>
      <c r="AL24" s="203">
        <f t="shared" si="19"/>
        <v>0</v>
      </c>
      <c r="AM24" s="203">
        <f t="shared" si="20"/>
        <v>0</v>
      </c>
      <c r="AN24" s="203">
        <f t="shared" si="20"/>
        <v>0</v>
      </c>
      <c r="AO24" s="205">
        <f>Z24*S24</f>
        <v>0</v>
      </c>
      <c r="AP24" s="205">
        <f t="shared" si="21"/>
        <v>0</v>
      </c>
      <c r="AQ24" s="205">
        <f t="shared" si="22"/>
        <v>3080</v>
      </c>
      <c r="AR24" s="205">
        <f>W24*S24</f>
        <v>0</v>
      </c>
      <c r="AS24" s="205">
        <f t="shared" si="23"/>
        <v>0</v>
      </c>
      <c r="AT24" s="209">
        <f t="shared" si="13"/>
        <v>4920</v>
      </c>
      <c r="AU24" s="209">
        <f t="shared" si="13"/>
        <v>0</v>
      </c>
      <c r="AV24" s="203"/>
      <c r="AW24" s="251">
        <f t="shared" si="14"/>
        <v>4920</v>
      </c>
      <c r="AX24" s="251">
        <f>13500*S24-AB24</f>
        <v>5500</v>
      </c>
      <c r="AY24" s="661"/>
      <c r="AZ24" s="661"/>
      <c r="BA24" s="661"/>
    </row>
    <row r="25" spans="2:53" s="79" customFormat="1" ht="33">
      <c r="B25" s="703">
        <f t="shared" si="15"/>
        <v>11</v>
      </c>
      <c r="C25" s="197" t="s">
        <v>1226</v>
      </c>
      <c r="D25" s="198" t="s">
        <v>1225</v>
      </c>
      <c r="E25" s="703" t="s">
        <v>1227</v>
      </c>
      <c r="F25" s="703">
        <v>10</v>
      </c>
      <c r="G25" s="199">
        <v>5815</v>
      </c>
      <c r="H25" s="736"/>
      <c r="I25" s="199"/>
      <c r="J25" s="736"/>
      <c r="K25" s="199"/>
      <c r="L25" s="199"/>
      <c r="M25" s="736"/>
      <c r="N25" s="199"/>
      <c r="O25" s="736"/>
      <c r="P25" s="199"/>
      <c r="Q25" s="199"/>
      <c r="R25" s="199">
        <f t="shared" si="24"/>
        <v>5815</v>
      </c>
      <c r="S25" s="199"/>
      <c r="T25" s="206">
        <v>0.5</v>
      </c>
      <c r="U25" s="206"/>
      <c r="V25" s="741"/>
      <c r="W25" s="206"/>
      <c r="X25" s="718"/>
      <c r="Y25" s="737"/>
      <c r="Z25" s="199"/>
      <c r="AA25" s="199">
        <f>AH25</f>
        <v>1092.5</v>
      </c>
      <c r="AB25" s="796">
        <f>(R25+Z25+U25+W25)*T25+AA25</f>
        <v>4000</v>
      </c>
      <c r="AC25" s="738">
        <f t="shared" si="25"/>
        <v>0</v>
      </c>
      <c r="AD25" s="738">
        <f t="shared" si="26"/>
        <v>4000</v>
      </c>
      <c r="AE25" s="202">
        <f t="shared" si="27"/>
        <v>4000</v>
      </c>
      <c r="AF25" s="202">
        <f t="shared" si="28"/>
        <v>0</v>
      </c>
      <c r="AG25" s="738">
        <f>8000*T25</f>
        <v>4000</v>
      </c>
      <c r="AH25" s="202">
        <f>AG25-(R25*T25)</f>
        <v>1092.5</v>
      </c>
      <c r="AI25" s="203">
        <f>G25*T25</f>
        <v>2907.5</v>
      </c>
      <c r="AJ25" s="203">
        <f t="shared" si="18"/>
        <v>2907.5</v>
      </c>
      <c r="AK25" s="203">
        <f>R25*T25</f>
        <v>2907.5</v>
      </c>
      <c r="AL25" s="203">
        <f t="shared" si="19"/>
        <v>2907.5</v>
      </c>
      <c r="AM25" s="203">
        <f t="shared" si="20"/>
        <v>0</v>
      </c>
      <c r="AN25" s="203">
        <f t="shared" si="20"/>
        <v>0</v>
      </c>
      <c r="AO25" s="205">
        <f>Z25*T25</f>
        <v>0</v>
      </c>
      <c r="AP25" s="205">
        <f t="shared" si="21"/>
        <v>0</v>
      </c>
      <c r="AQ25" s="205">
        <f t="shared" si="22"/>
        <v>1092.5</v>
      </c>
      <c r="AR25" s="205">
        <f>W25*T25</f>
        <v>0</v>
      </c>
      <c r="AS25" s="205">
        <f t="shared" si="23"/>
        <v>0</v>
      </c>
      <c r="AT25" s="209">
        <f>AK25</f>
        <v>2907.5</v>
      </c>
      <c r="AU25" s="209">
        <f>AL25</f>
        <v>2907.5</v>
      </c>
      <c r="AV25" s="203"/>
      <c r="AW25" s="251">
        <f>R25*T25</f>
        <v>2907.5</v>
      </c>
      <c r="AX25" s="251">
        <f>13500*T25-AB25</f>
        <v>2750</v>
      </c>
      <c r="AY25" s="661"/>
      <c r="AZ25" s="661"/>
      <c r="BA25" s="661"/>
    </row>
    <row r="26" spans="2:53" s="76" customFormat="1" ht="33">
      <c r="B26" s="703">
        <f t="shared" si="15"/>
        <v>12</v>
      </c>
      <c r="C26" s="197" t="s">
        <v>1239</v>
      </c>
      <c r="D26" s="198"/>
      <c r="E26" s="703" t="s">
        <v>1227</v>
      </c>
      <c r="F26" s="703">
        <v>4</v>
      </c>
      <c r="G26" s="199">
        <v>4058</v>
      </c>
      <c r="H26" s="736"/>
      <c r="I26" s="199"/>
      <c r="J26" s="736"/>
      <c r="K26" s="199"/>
      <c r="L26" s="199"/>
      <c r="M26" s="736"/>
      <c r="N26" s="199"/>
      <c r="O26" s="736"/>
      <c r="P26" s="199"/>
      <c r="Q26" s="199"/>
      <c r="R26" s="199">
        <f t="shared" si="24"/>
        <v>4058</v>
      </c>
      <c r="S26" s="199">
        <v>1</v>
      </c>
      <c r="T26" s="199"/>
      <c r="U26" s="206"/>
      <c r="V26" s="741"/>
      <c r="W26" s="206"/>
      <c r="X26" s="718"/>
      <c r="Y26" s="737"/>
      <c r="Z26" s="199"/>
      <c r="AA26" s="199">
        <f>AH26</f>
        <v>3942</v>
      </c>
      <c r="AB26" s="796">
        <f>(R26+AA26)*S26</f>
        <v>8000</v>
      </c>
      <c r="AC26" s="738">
        <f t="shared" si="25"/>
        <v>0</v>
      </c>
      <c r="AD26" s="738">
        <f t="shared" si="26"/>
        <v>8000</v>
      </c>
      <c r="AE26" s="202">
        <f t="shared" si="27"/>
        <v>8000</v>
      </c>
      <c r="AF26" s="202">
        <f t="shared" si="28"/>
        <v>0</v>
      </c>
      <c r="AG26" s="738">
        <f>8000*S26</f>
        <v>8000</v>
      </c>
      <c r="AH26" s="202">
        <f>AG26-(R26*S26)</f>
        <v>3942</v>
      </c>
      <c r="AI26" s="203">
        <f>G26*S26</f>
        <v>4058</v>
      </c>
      <c r="AJ26" s="203">
        <f>G26*S26</f>
        <v>4058</v>
      </c>
      <c r="AK26" s="203">
        <f>R26*S26</f>
        <v>4058</v>
      </c>
      <c r="AL26" s="203">
        <f t="shared" si="19"/>
        <v>0</v>
      </c>
      <c r="AM26" s="203">
        <f t="shared" si="20"/>
        <v>0</v>
      </c>
      <c r="AN26" s="203">
        <f t="shared" si="20"/>
        <v>-4058</v>
      </c>
      <c r="AO26" s="205">
        <f>Z26*S26</f>
        <v>0</v>
      </c>
      <c r="AP26" s="205">
        <f>Z26*S26</f>
        <v>0</v>
      </c>
      <c r="AQ26" s="205">
        <f t="shared" si="22"/>
        <v>3942</v>
      </c>
      <c r="AR26" s="205">
        <f>W26*S26</f>
        <v>0</v>
      </c>
      <c r="AS26" s="205">
        <f>W26*S26</f>
        <v>0</v>
      </c>
      <c r="AT26" s="209">
        <f>AK26</f>
        <v>4058</v>
      </c>
      <c r="AU26" s="209">
        <f>AL26</f>
        <v>0</v>
      </c>
      <c r="AV26" s="203"/>
      <c r="AW26" s="251">
        <f>R26*S26</f>
        <v>4058</v>
      </c>
      <c r="AX26" s="251">
        <f>13500*S26-AB26</f>
        <v>5500</v>
      </c>
      <c r="AY26" s="661"/>
      <c r="AZ26" s="661"/>
      <c r="BA26" s="661"/>
    </row>
    <row r="27" spans="2:53" s="76" customFormat="1" ht="31.5">
      <c r="B27" s="703"/>
      <c r="C27" s="180" t="s">
        <v>1736</v>
      </c>
      <c r="D27" s="198"/>
      <c r="E27" s="703"/>
      <c r="F27" s="703"/>
      <c r="G27" s="210">
        <f>SUM(G21:G26)</f>
        <v>35593.11</v>
      </c>
      <c r="H27" s="743"/>
      <c r="I27" s="210"/>
      <c r="J27" s="743"/>
      <c r="K27" s="210"/>
      <c r="L27" s="210"/>
      <c r="M27" s="743"/>
      <c r="N27" s="210">
        <f>SUM(N21:N26)</f>
        <v>1644.0165</v>
      </c>
      <c r="O27" s="743"/>
      <c r="P27" s="210"/>
      <c r="Q27" s="210"/>
      <c r="R27" s="210">
        <f>SUM(R21:R26)</f>
        <v>37237.126499999998</v>
      </c>
      <c r="S27" s="210">
        <f>SUM(S21:S26)</f>
        <v>5</v>
      </c>
      <c r="T27" s="210">
        <f>SUM(T21:T26)</f>
        <v>0.5</v>
      </c>
      <c r="U27" s="210"/>
      <c r="V27" s="743"/>
      <c r="W27" s="210"/>
      <c r="X27" s="743"/>
      <c r="Y27" s="743"/>
      <c r="Z27" s="210"/>
      <c r="AA27" s="210">
        <f>SUM(AA21:AA26)</f>
        <v>14274.5</v>
      </c>
      <c r="AB27" s="798">
        <f>SUM(AB21:AB26)</f>
        <v>48604.126499999998</v>
      </c>
      <c r="AC27" s="210">
        <f t="shared" ref="AC27:AV27" si="29">SUM(AC21:AC26)</f>
        <v>0</v>
      </c>
      <c r="AD27" s="210">
        <f>SUM(AD21:AD26)</f>
        <v>48604.126499999998</v>
      </c>
      <c r="AE27" s="210">
        <f t="shared" si="29"/>
        <v>48604.126499999998</v>
      </c>
      <c r="AF27" s="210">
        <f t="shared" si="29"/>
        <v>0</v>
      </c>
      <c r="AG27" s="210">
        <f t="shared" si="29"/>
        <v>44000</v>
      </c>
      <c r="AH27" s="210">
        <f t="shared" si="29"/>
        <v>14274.5</v>
      </c>
      <c r="AI27" s="210">
        <f t="shared" si="29"/>
        <v>32685.61</v>
      </c>
      <c r="AJ27" s="210">
        <f t="shared" si="29"/>
        <v>6965.5</v>
      </c>
      <c r="AK27" s="210">
        <f t="shared" si="29"/>
        <v>34329.626499999998</v>
      </c>
      <c r="AL27" s="210">
        <f t="shared" si="29"/>
        <v>2907.5</v>
      </c>
      <c r="AM27" s="210">
        <f t="shared" si="29"/>
        <v>1644.0164999999997</v>
      </c>
      <c r="AN27" s="210">
        <f t="shared" si="29"/>
        <v>-4058</v>
      </c>
      <c r="AO27" s="210">
        <f t="shared" si="29"/>
        <v>0</v>
      </c>
      <c r="AP27" s="210">
        <f t="shared" si="29"/>
        <v>0</v>
      </c>
      <c r="AQ27" s="210">
        <f t="shared" si="29"/>
        <v>14274.5</v>
      </c>
      <c r="AR27" s="210">
        <f t="shared" si="29"/>
        <v>0</v>
      </c>
      <c r="AS27" s="210">
        <f t="shared" si="29"/>
        <v>0</v>
      </c>
      <c r="AT27" s="210">
        <f t="shared" si="29"/>
        <v>34329.626499999998</v>
      </c>
      <c r="AU27" s="210">
        <f t="shared" si="29"/>
        <v>2907.5</v>
      </c>
      <c r="AV27" s="210">
        <f t="shared" si="29"/>
        <v>0</v>
      </c>
      <c r="AW27" s="210">
        <f>SUM(AW21:AW26)</f>
        <v>34329.626499999998</v>
      </c>
      <c r="AX27" s="210">
        <f>SUM(AX21:AX26)</f>
        <v>25645.873500000002</v>
      </c>
      <c r="AY27" s="661"/>
      <c r="AZ27" s="661"/>
      <c r="BA27" s="661"/>
    </row>
    <row r="28" spans="2:53" s="76" customFormat="1" ht="61.5">
      <c r="B28" s="703"/>
      <c r="C28" s="191" t="s">
        <v>1183</v>
      </c>
      <c r="D28" s="192"/>
      <c r="E28" s="193"/>
      <c r="F28" s="193"/>
      <c r="G28" s="193"/>
      <c r="H28" s="731"/>
      <c r="I28" s="193"/>
      <c r="J28" s="731"/>
      <c r="K28" s="193"/>
      <c r="L28" s="193"/>
      <c r="M28" s="731"/>
      <c r="N28" s="193"/>
      <c r="O28" s="731"/>
      <c r="P28" s="193"/>
      <c r="Q28" s="193"/>
      <c r="R28" s="193"/>
      <c r="S28" s="193"/>
      <c r="T28" s="193"/>
      <c r="U28" s="193"/>
      <c r="V28" s="732"/>
      <c r="W28" s="193"/>
      <c r="X28" s="732"/>
      <c r="Y28" s="732"/>
      <c r="Z28" s="193"/>
      <c r="AA28" s="193"/>
      <c r="AB28" s="795"/>
      <c r="AC28" s="195"/>
      <c r="AD28" s="195"/>
      <c r="AE28" s="195"/>
      <c r="AF28" s="195"/>
      <c r="AG28" s="195"/>
      <c r="AH28" s="195"/>
      <c r="AI28" s="203"/>
      <c r="AJ28" s="203"/>
      <c r="AK28" s="203"/>
      <c r="AL28" s="203"/>
      <c r="AM28" s="203"/>
      <c r="AN28" s="203"/>
      <c r="AO28" s="205"/>
      <c r="AP28" s="205"/>
      <c r="AQ28" s="205"/>
      <c r="AR28" s="205"/>
      <c r="AS28" s="205"/>
      <c r="AT28" s="209"/>
      <c r="AU28" s="209"/>
      <c r="AV28" s="203"/>
      <c r="AW28" s="251"/>
      <c r="AX28" s="251"/>
      <c r="AY28" s="661"/>
      <c r="AZ28" s="661"/>
      <c r="BA28" s="661"/>
    </row>
    <row r="29" spans="2:53" s="76" customFormat="1" ht="33">
      <c r="B29" s="703">
        <f>B26+1</f>
        <v>13</v>
      </c>
      <c r="C29" s="211" t="s">
        <v>1232</v>
      </c>
      <c r="D29" s="198"/>
      <c r="E29" s="206" t="s">
        <v>202</v>
      </c>
      <c r="F29" s="703">
        <v>7</v>
      </c>
      <c r="G29" s="199">
        <v>4920</v>
      </c>
      <c r="H29" s="736"/>
      <c r="I29" s="199"/>
      <c r="J29" s="736"/>
      <c r="K29" s="199"/>
      <c r="L29" s="199"/>
      <c r="M29" s="736"/>
      <c r="N29" s="199"/>
      <c r="O29" s="736"/>
      <c r="P29" s="199"/>
      <c r="Q29" s="199"/>
      <c r="R29" s="199">
        <f>G29+I29+K29+L29+N29+P29+Q29</f>
        <v>4920</v>
      </c>
      <c r="S29" s="199">
        <v>1</v>
      </c>
      <c r="T29" s="206"/>
      <c r="U29" s="206"/>
      <c r="V29" s="741"/>
      <c r="W29" s="206"/>
      <c r="X29" s="718"/>
      <c r="Y29" s="737"/>
      <c r="Z29" s="199"/>
      <c r="AA29" s="199">
        <f>AH29</f>
        <v>3080</v>
      </c>
      <c r="AB29" s="796">
        <f>(R29+AA29)*S29</f>
        <v>8000</v>
      </c>
      <c r="AC29" s="738">
        <f>AF29</f>
        <v>0</v>
      </c>
      <c r="AD29" s="738">
        <f>AB29+AC29</f>
        <v>8000</v>
      </c>
      <c r="AE29" s="202">
        <f>AB29</f>
        <v>8000</v>
      </c>
      <c r="AF29" s="202">
        <f>AE29-AB29</f>
        <v>0</v>
      </c>
      <c r="AG29" s="738">
        <f>8000*S29</f>
        <v>8000</v>
      </c>
      <c r="AH29" s="202">
        <f>AG29-(R29*S29)</f>
        <v>3080</v>
      </c>
      <c r="AI29" s="203">
        <f>G29*S29</f>
        <v>4920</v>
      </c>
      <c r="AJ29" s="203">
        <f>G29*T29</f>
        <v>0</v>
      </c>
      <c r="AK29" s="203">
        <f>R29*S29</f>
        <v>4920</v>
      </c>
      <c r="AL29" s="203">
        <f>R29*T29</f>
        <v>0</v>
      </c>
      <c r="AM29" s="203">
        <f t="shared" ref="AM29:AN31" si="30">AK29-AI29</f>
        <v>0</v>
      </c>
      <c r="AN29" s="203">
        <f t="shared" si="30"/>
        <v>0</v>
      </c>
      <c r="AO29" s="205">
        <f>Z29*S29</f>
        <v>0</v>
      </c>
      <c r="AP29" s="205">
        <f>Z29*T29</f>
        <v>0</v>
      </c>
      <c r="AQ29" s="205">
        <f>AA29</f>
        <v>3080</v>
      </c>
      <c r="AR29" s="205">
        <f>W29*S29</f>
        <v>0</v>
      </c>
      <c r="AS29" s="205">
        <f>W29*T29</f>
        <v>0</v>
      </c>
      <c r="AT29" s="209">
        <f>AK29</f>
        <v>4920</v>
      </c>
      <c r="AU29" s="209">
        <f>AL29</f>
        <v>0</v>
      </c>
      <c r="AV29" s="203"/>
      <c r="AW29" s="251">
        <f>R29*S29</f>
        <v>4920</v>
      </c>
      <c r="AX29" s="251">
        <f>13500*S29-AB29</f>
        <v>5500</v>
      </c>
      <c r="AY29" s="661"/>
      <c r="AZ29" s="661"/>
      <c r="BA29" s="661"/>
    </row>
    <row r="30" spans="2:53" s="76" customFormat="1" ht="58.5">
      <c r="B30" s="703">
        <f t="shared" si="15"/>
        <v>14</v>
      </c>
      <c r="C30" s="197" t="s">
        <v>1184</v>
      </c>
      <c r="D30" s="212" t="s">
        <v>1186</v>
      </c>
      <c r="E30" s="206" t="s">
        <v>1187</v>
      </c>
      <c r="F30" s="703">
        <v>8</v>
      </c>
      <c r="G30" s="199">
        <v>5240</v>
      </c>
      <c r="H30" s="736"/>
      <c r="I30" s="199"/>
      <c r="J30" s="736"/>
      <c r="K30" s="199"/>
      <c r="L30" s="199"/>
      <c r="M30" s="736"/>
      <c r="N30" s="199"/>
      <c r="O30" s="736"/>
      <c r="P30" s="206"/>
      <c r="Q30" s="206"/>
      <c r="R30" s="199">
        <f>G30+I30+K30+L30+N30+P30+Q30</f>
        <v>5240</v>
      </c>
      <c r="S30" s="199"/>
      <c r="T30" s="199">
        <v>0.5</v>
      </c>
      <c r="U30" s="206"/>
      <c r="V30" s="741"/>
      <c r="W30" s="206"/>
      <c r="X30" s="718">
        <v>16</v>
      </c>
      <c r="Y30" s="737">
        <v>0.2</v>
      </c>
      <c r="Z30" s="199">
        <f>R30*Y30</f>
        <v>1048</v>
      </c>
      <c r="AA30" s="199">
        <f>AH30</f>
        <v>856</v>
      </c>
      <c r="AB30" s="796">
        <f>(R30+Z30)*T30+AA30</f>
        <v>4000</v>
      </c>
      <c r="AC30" s="738">
        <f>AF30</f>
        <v>2750</v>
      </c>
      <c r="AD30" s="738">
        <f>AB30+AC30</f>
        <v>6750</v>
      </c>
      <c r="AE30" s="202">
        <f>13500*T30</f>
        <v>6750</v>
      </c>
      <c r="AF30" s="202">
        <f>AE30-AB30</f>
        <v>2750</v>
      </c>
      <c r="AG30" s="738">
        <f>8000*T30</f>
        <v>4000</v>
      </c>
      <c r="AH30" s="202">
        <f>AG30-(R30+Z30)*T30</f>
        <v>856</v>
      </c>
      <c r="AI30" s="203">
        <f>G30*T30</f>
        <v>2620</v>
      </c>
      <c r="AJ30" s="203">
        <f>G30*T30</f>
        <v>2620</v>
      </c>
      <c r="AK30" s="203">
        <f>R30*S30</f>
        <v>0</v>
      </c>
      <c r="AL30" s="203">
        <f>R30*T30</f>
        <v>2620</v>
      </c>
      <c r="AM30" s="203">
        <f t="shared" si="30"/>
        <v>-2620</v>
      </c>
      <c r="AN30" s="203">
        <f t="shared" si="30"/>
        <v>0</v>
      </c>
      <c r="AO30" s="205">
        <f>Z30*T30</f>
        <v>524</v>
      </c>
      <c r="AP30" s="205">
        <f>Z30*T30</f>
        <v>524</v>
      </c>
      <c r="AQ30" s="205">
        <f>AA30</f>
        <v>856</v>
      </c>
      <c r="AR30" s="205">
        <f>W30*T30</f>
        <v>0</v>
      </c>
      <c r="AS30" s="205">
        <f>W30*T30</f>
        <v>0</v>
      </c>
      <c r="AT30" s="209">
        <f>AK30</f>
        <v>0</v>
      </c>
      <c r="AU30" s="209">
        <f t="shared" si="13"/>
        <v>2620</v>
      </c>
      <c r="AV30" s="203"/>
      <c r="AW30" s="251">
        <f>R30*T30</f>
        <v>2620</v>
      </c>
      <c r="AX30" s="251"/>
      <c r="AY30" s="661"/>
      <c r="AZ30" s="661"/>
      <c r="BA30" s="661"/>
    </row>
    <row r="31" spans="2:53" s="76" customFormat="1" ht="33">
      <c r="B31" s="703">
        <f t="shared" si="15"/>
        <v>15</v>
      </c>
      <c r="C31" s="197" t="s">
        <v>1219</v>
      </c>
      <c r="D31" s="212"/>
      <c r="E31" s="703" t="s">
        <v>1220</v>
      </c>
      <c r="F31" s="206">
        <v>5</v>
      </c>
      <c r="G31" s="199">
        <v>4345</v>
      </c>
      <c r="H31" s="736"/>
      <c r="I31" s="199"/>
      <c r="J31" s="736"/>
      <c r="K31" s="199"/>
      <c r="L31" s="199"/>
      <c r="M31" s="736"/>
      <c r="N31" s="199"/>
      <c r="O31" s="736"/>
      <c r="P31" s="199"/>
      <c r="Q31" s="199"/>
      <c r="R31" s="199">
        <f>G31+I31+K31+L31+N31+P31+Q31</f>
        <v>4345</v>
      </c>
      <c r="S31" s="199">
        <v>1</v>
      </c>
      <c r="T31" s="199"/>
      <c r="U31" s="199"/>
      <c r="V31" s="736"/>
      <c r="W31" s="199"/>
      <c r="X31" s="718"/>
      <c r="Y31" s="737"/>
      <c r="Z31" s="199"/>
      <c r="AA31" s="199">
        <f>AH31</f>
        <v>3655</v>
      </c>
      <c r="AB31" s="796">
        <f>(R31+Z31+U31+W31)*S31+AA31</f>
        <v>8000</v>
      </c>
      <c r="AC31" s="738">
        <f>AF31</f>
        <v>0</v>
      </c>
      <c r="AD31" s="738">
        <f>AB31+AC31</f>
        <v>8000</v>
      </c>
      <c r="AE31" s="744">
        <f>AB31</f>
        <v>8000</v>
      </c>
      <c r="AF31" s="202">
        <f>AE31-AB31</f>
        <v>0</v>
      </c>
      <c r="AG31" s="738">
        <f>8000*S31</f>
        <v>8000</v>
      </c>
      <c r="AH31" s="202">
        <f>AG31-(R31*S31)</f>
        <v>3655</v>
      </c>
      <c r="AI31" s="203">
        <f>G31*S31</f>
        <v>4345</v>
      </c>
      <c r="AJ31" s="203">
        <f>G31*T31</f>
        <v>0</v>
      </c>
      <c r="AK31" s="203">
        <f>R31*S31</f>
        <v>4345</v>
      </c>
      <c r="AL31" s="203">
        <f>R31*T31</f>
        <v>0</v>
      </c>
      <c r="AM31" s="203">
        <f t="shared" si="30"/>
        <v>0</v>
      </c>
      <c r="AN31" s="203">
        <f t="shared" si="30"/>
        <v>0</v>
      </c>
      <c r="AO31" s="205">
        <f>Z31*S31</f>
        <v>0</v>
      </c>
      <c r="AP31" s="205">
        <f>Z31*T31</f>
        <v>0</v>
      </c>
      <c r="AQ31" s="205">
        <f>AA31</f>
        <v>3655</v>
      </c>
      <c r="AR31" s="205">
        <f>W31*S31</f>
        <v>0</v>
      </c>
      <c r="AS31" s="205">
        <f>W31*S31</f>
        <v>0</v>
      </c>
      <c r="AT31" s="209">
        <f t="shared" si="13"/>
        <v>4345</v>
      </c>
      <c r="AU31" s="209">
        <f>AL31</f>
        <v>0</v>
      </c>
      <c r="AV31" s="203"/>
      <c r="AW31" s="251">
        <f>R31*S31</f>
        <v>4345</v>
      </c>
      <c r="AX31" s="251"/>
      <c r="AY31" s="661"/>
      <c r="AZ31" s="661"/>
      <c r="BA31" s="661"/>
    </row>
    <row r="32" spans="2:53" s="76" customFormat="1" ht="31.5">
      <c r="B32" s="703"/>
      <c r="C32" s="180" t="s">
        <v>1736</v>
      </c>
      <c r="D32" s="207"/>
      <c r="E32" s="193"/>
      <c r="F32" s="193"/>
      <c r="G32" s="183">
        <f>SUM(G29:G31)</f>
        <v>14505</v>
      </c>
      <c r="H32" s="742"/>
      <c r="I32" s="183"/>
      <c r="J32" s="742"/>
      <c r="K32" s="183"/>
      <c r="L32" s="183"/>
      <c r="M32" s="742"/>
      <c r="N32" s="183"/>
      <c r="O32" s="742"/>
      <c r="P32" s="183"/>
      <c r="Q32" s="183"/>
      <c r="R32" s="183">
        <f>SUM(R29:R31)</f>
        <v>14505</v>
      </c>
      <c r="S32" s="183">
        <f>SUM(S29:S31)</f>
        <v>2</v>
      </c>
      <c r="T32" s="183">
        <f>SUM(T29:T31)</f>
        <v>0.5</v>
      </c>
      <c r="U32" s="183"/>
      <c r="V32" s="742"/>
      <c r="W32" s="183"/>
      <c r="X32" s="742"/>
      <c r="Y32" s="742"/>
      <c r="Z32" s="183">
        <f>SUM(Z29:Z31)</f>
        <v>1048</v>
      </c>
      <c r="AA32" s="183">
        <f>SUM(AA29:AA31)</f>
        <v>7591</v>
      </c>
      <c r="AB32" s="797">
        <f>SUM(AB29:AB31)</f>
        <v>20000</v>
      </c>
      <c r="AC32" s="183">
        <f>SUM(AC29:AC31)</f>
        <v>2750</v>
      </c>
      <c r="AD32" s="183">
        <f>SUM(AD29:AD31)</f>
        <v>22750</v>
      </c>
      <c r="AE32" s="183">
        <f t="shared" ref="AE32:AV32" si="31">SUM(AE29:AE31)</f>
        <v>22750</v>
      </c>
      <c r="AF32" s="183">
        <f t="shared" si="31"/>
        <v>2750</v>
      </c>
      <c r="AG32" s="183">
        <f t="shared" si="31"/>
        <v>20000</v>
      </c>
      <c r="AH32" s="183">
        <f t="shared" si="31"/>
        <v>7591</v>
      </c>
      <c r="AI32" s="183">
        <f t="shared" si="31"/>
        <v>11885</v>
      </c>
      <c r="AJ32" s="183">
        <f t="shared" si="31"/>
        <v>2620</v>
      </c>
      <c r="AK32" s="183">
        <f t="shared" si="31"/>
        <v>9265</v>
      </c>
      <c r="AL32" s="183">
        <f t="shared" si="31"/>
        <v>2620</v>
      </c>
      <c r="AM32" s="183">
        <f t="shared" si="31"/>
        <v>-2620</v>
      </c>
      <c r="AN32" s="183">
        <f t="shared" si="31"/>
        <v>0</v>
      </c>
      <c r="AO32" s="183">
        <f t="shared" si="31"/>
        <v>524</v>
      </c>
      <c r="AP32" s="183">
        <f t="shared" si="31"/>
        <v>524</v>
      </c>
      <c r="AQ32" s="183">
        <f t="shared" si="31"/>
        <v>7591</v>
      </c>
      <c r="AR32" s="183">
        <f t="shared" si="31"/>
        <v>0</v>
      </c>
      <c r="AS32" s="183">
        <f t="shared" si="31"/>
        <v>0</v>
      </c>
      <c r="AT32" s="183">
        <f t="shared" si="31"/>
        <v>9265</v>
      </c>
      <c r="AU32" s="183">
        <f t="shared" si="31"/>
        <v>2620</v>
      </c>
      <c r="AV32" s="183">
        <f t="shared" si="31"/>
        <v>0</v>
      </c>
      <c r="AW32" s="183">
        <f>SUM(AW29:AW31)</f>
        <v>11885</v>
      </c>
      <c r="AX32" s="183">
        <f>SUM(AX29:AX31)</f>
        <v>5500</v>
      </c>
      <c r="AY32" s="661"/>
      <c r="AZ32" s="661"/>
      <c r="BA32" s="661"/>
    </row>
    <row r="33" spans="2:53" s="76" customFormat="1" ht="61.5">
      <c r="B33" s="703"/>
      <c r="C33" s="191" t="s">
        <v>1879</v>
      </c>
      <c r="D33" s="207"/>
      <c r="E33" s="193"/>
      <c r="F33" s="193"/>
      <c r="G33" s="183"/>
      <c r="H33" s="742"/>
      <c r="I33" s="183"/>
      <c r="J33" s="742"/>
      <c r="K33" s="183"/>
      <c r="L33" s="183"/>
      <c r="M33" s="742"/>
      <c r="N33" s="183"/>
      <c r="O33" s="742"/>
      <c r="P33" s="183"/>
      <c r="Q33" s="183"/>
      <c r="R33" s="183"/>
      <c r="S33" s="183"/>
      <c r="T33" s="183"/>
      <c r="U33" s="183"/>
      <c r="V33" s="742"/>
      <c r="W33" s="183"/>
      <c r="X33" s="742"/>
      <c r="Y33" s="742"/>
      <c r="Z33" s="183"/>
      <c r="AA33" s="183"/>
      <c r="AB33" s="797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9"/>
      <c r="AU33" s="209"/>
      <c r="AV33" s="208"/>
      <c r="AW33" s="221"/>
      <c r="AX33" s="251"/>
      <c r="AY33" s="661"/>
      <c r="AZ33" s="661"/>
      <c r="BA33" s="661"/>
    </row>
    <row r="34" spans="2:53" s="76" customFormat="1" ht="33">
      <c r="B34" s="703">
        <f>B31+1</f>
        <v>16</v>
      </c>
      <c r="C34" s="197" t="s">
        <v>1242</v>
      </c>
      <c r="D34" s="198"/>
      <c r="E34" s="703" t="s">
        <v>1377</v>
      </c>
      <c r="F34" s="703">
        <v>7</v>
      </c>
      <c r="G34" s="199">
        <v>4920</v>
      </c>
      <c r="H34" s="736"/>
      <c r="I34" s="199"/>
      <c r="J34" s="736"/>
      <c r="K34" s="199"/>
      <c r="L34" s="199"/>
      <c r="M34" s="736"/>
      <c r="N34" s="199"/>
      <c r="O34" s="736"/>
      <c r="P34" s="199"/>
      <c r="Q34" s="199"/>
      <c r="R34" s="199">
        <f t="shared" ref="R34:R41" si="32">G34+I34+K34+L34+N34+P34+Q34</f>
        <v>4920</v>
      </c>
      <c r="S34" s="199">
        <v>1</v>
      </c>
      <c r="T34" s="206"/>
      <c r="U34" s="206"/>
      <c r="V34" s="741"/>
      <c r="W34" s="206"/>
      <c r="X34" s="718"/>
      <c r="Y34" s="737"/>
      <c r="Z34" s="199"/>
      <c r="AA34" s="199">
        <f t="shared" ref="AA34:AA41" si="33">AH34</f>
        <v>3080</v>
      </c>
      <c r="AB34" s="796">
        <f>(R34+AA34)*S34</f>
        <v>8000</v>
      </c>
      <c r="AC34" s="738">
        <f t="shared" ref="AC34:AC41" si="34">AF34</f>
        <v>0</v>
      </c>
      <c r="AD34" s="738">
        <f t="shared" ref="AD34:AD41" si="35">AB34+AC34</f>
        <v>8000</v>
      </c>
      <c r="AE34" s="202">
        <f t="shared" ref="AE34:AE41" si="36">AB34</f>
        <v>8000</v>
      </c>
      <c r="AF34" s="202">
        <f t="shared" ref="AF34:AF41" si="37">AE34-AB34</f>
        <v>0</v>
      </c>
      <c r="AG34" s="738">
        <f>8000*S34</f>
        <v>8000</v>
      </c>
      <c r="AH34" s="202">
        <f>AG34-(R34*S34)</f>
        <v>3080</v>
      </c>
      <c r="AI34" s="203">
        <f>G34*S34</f>
        <v>4920</v>
      </c>
      <c r="AJ34" s="203">
        <f>G34*T34</f>
        <v>0</v>
      </c>
      <c r="AK34" s="203">
        <f>R34*S34</f>
        <v>4920</v>
      </c>
      <c r="AL34" s="203">
        <f>R34*T34</f>
        <v>0</v>
      </c>
      <c r="AM34" s="203">
        <f t="shared" ref="AM34:AN41" si="38">AK34-AI34</f>
        <v>0</v>
      </c>
      <c r="AN34" s="203">
        <f t="shared" si="38"/>
        <v>0</v>
      </c>
      <c r="AO34" s="205">
        <f t="shared" ref="AO34:AO40" si="39">Z34*S34</f>
        <v>0</v>
      </c>
      <c r="AP34" s="205">
        <f t="shared" ref="AP34:AP39" si="40">Z34*T34</f>
        <v>0</v>
      </c>
      <c r="AQ34" s="205">
        <f t="shared" ref="AQ34:AQ40" si="41">AA34</f>
        <v>3080</v>
      </c>
      <c r="AR34" s="205">
        <f t="shared" ref="AR34:AR40" si="42">W34*S34</f>
        <v>0</v>
      </c>
      <c r="AS34" s="205">
        <f t="shared" ref="AS34:AS40" si="43">W34*T34</f>
        <v>0</v>
      </c>
      <c r="AT34" s="209">
        <f t="shared" si="13"/>
        <v>4920</v>
      </c>
      <c r="AU34" s="209">
        <f t="shared" si="13"/>
        <v>0</v>
      </c>
      <c r="AV34" s="203"/>
      <c r="AW34" s="251">
        <f>R34*S34</f>
        <v>4920</v>
      </c>
      <c r="AX34" s="251">
        <f>13500*S34-AB34</f>
        <v>5500</v>
      </c>
      <c r="AY34" s="661"/>
      <c r="AZ34" s="661"/>
      <c r="BA34" s="661"/>
    </row>
    <row r="35" spans="2:53" s="76" customFormat="1" ht="33">
      <c r="B35" s="703">
        <f t="shared" si="15"/>
        <v>17</v>
      </c>
      <c r="C35" s="197" t="s">
        <v>1244</v>
      </c>
      <c r="D35" s="198" t="s">
        <v>1245</v>
      </c>
      <c r="E35" s="703" t="s">
        <v>1246</v>
      </c>
      <c r="F35" s="703">
        <v>10</v>
      </c>
      <c r="G35" s="199">
        <v>5815</v>
      </c>
      <c r="H35" s="736"/>
      <c r="I35" s="199"/>
      <c r="J35" s="736"/>
      <c r="K35" s="199"/>
      <c r="L35" s="199"/>
      <c r="M35" s="736"/>
      <c r="N35" s="199"/>
      <c r="O35" s="736"/>
      <c r="P35" s="199"/>
      <c r="Q35" s="199"/>
      <c r="R35" s="199">
        <f t="shared" si="32"/>
        <v>5815</v>
      </c>
      <c r="S35" s="199">
        <v>1</v>
      </c>
      <c r="T35" s="206"/>
      <c r="U35" s="206"/>
      <c r="V35" s="741"/>
      <c r="W35" s="206"/>
      <c r="X35" s="718"/>
      <c r="Y35" s="737"/>
      <c r="Z35" s="199"/>
      <c r="AA35" s="199">
        <f t="shared" si="33"/>
        <v>2185</v>
      </c>
      <c r="AB35" s="796">
        <f>(R35+Z35+U35+W35)*S35+AA35</f>
        <v>8000</v>
      </c>
      <c r="AC35" s="738">
        <f t="shared" si="34"/>
        <v>0</v>
      </c>
      <c r="AD35" s="738">
        <f t="shared" si="35"/>
        <v>8000</v>
      </c>
      <c r="AE35" s="202">
        <f t="shared" si="36"/>
        <v>8000</v>
      </c>
      <c r="AF35" s="202">
        <f t="shared" si="37"/>
        <v>0</v>
      </c>
      <c r="AG35" s="738">
        <f>8000*S35</f>
        <v>8000</v>
      </c>
      <c r="AH35" s="202">
        <f>AG35-(R35*S35)</f>
        <v>2185</v>
      </c>
      <c r="AI35" s="203">
        <f>G35*S35</f>
        <v>5815</v>
      </c>
      <c r="AJ35" s="203">
        <f>G35*T35</f>
        <v>0</v>
      </c>
      <c r="AK35" s="203">
        <f>R35*S35</f>
        <v>5815</v>
      </c>
      <c r="AL35" s="203">
        <f t="shared" ref="AL35:AL41" si="44">R35*T35</f>
        <v>0</v>
      </c>
      <c r="AM35" s="203">
        <f t="shared" si="38"/>
        <v>0</v>
      </c>
      <c r="AN35" s="203">
        <f t="shared" si="38"/>
        <v>0</v>
      </c>
      <c r="AO35" s="205">
        <f t="shared" si="39"/>
        <v>0</v>
      </c>
      <c r="AP35" s="205">
        <f t="shared" si="40"/>
        <v>0</v>
      </c>
      <c r="AQ35" s="205">
        <f t="shared" si="41"/>
        <v>2185</v>
      </c>
      <c r="AR35" s="205">
        <f t="shared" si="42"/>
        <v>0</v>
      </c>
      <c r="AS35" s="205">
        <f t="shared" si="43"/>
        <v>0</v>
      </c>
      <c r="AT35" s="209">
        <f t="shared" si="13"/>
        <v>5815</v>
      </c>
      <c r="AU35" s="209">
        <f t="shared" si="13"/>
        <v>0</v>
      </c>
      <c r="AV35" s="203"/>
      <c r="AW35" s="251">
        <f>R35*S35</f>
        <v>5815</v>
      </c>
      <c r="AX35" s="251">
        <f>13500*S35-AB35</f>
        <v>5500</v>
      </c>
      <c r="AY35" s="661"/>
      <c r="AZ35" s="661"/>
      <c r="BA35" s="661"/>
    </row>
    <row r="36" spans="2:53" s="76" customFormat="1" ht="33">
      <c r="B36" s="703">
        <f t="shared" si="15"/>
        <v>18</v>
      </c>
      <c r="C36" s="197" t="s">
        <v>1384</v>
      </c>
      <c r="D36" s="198"/>
      <c r="E36" s="703" t="s">
        <v>1241</v>
      </c>
      <c r="F36" s="703">
        <v>7</v>
      </c>
      <c r="G36" s="199">
        <v>4920</v>
      </c>
      <c r="H36" s="736"/>
      <c r="I36" s="199"/>
      <c r="J36" s="736"/>
      <c r="K36" s="199"/>
      <c r="L36" s="199"/>
      <c r="M36" s="736"/>
      <c r="N36" s="199"/>
      <c r="O36" s="736"/>
      <c r="P36" s="199"/>
      <c r="Q36" s="199"/>
      <c r="R36" s="199">
        <f t="shared" si="32"/>
        <v>4920</v>
      </c>
      <c r="S36" s="199"/>
      <c r="T36" s="199">
        <v>0.5</v>
      </c>
      <c r="U36" s="206"/>
      <c r="V36" s="741"/>
      <c r="W36" s="206"/>
      <c r="X36" s="718"/>
      <c r="Y36" s="737"/>
      <c r="Z36" s="199"/>
      <c r="AA36" s="199">
        <f t="shared" si="33"/>
        <v>1540</v>
      </c>
      <c r="AB36" s="796">
        <f>(R36+Z36+U36+W36)*T36+AA36</f>
        <v>4000</v>
      </c>
      <c r="AC36" s="738">
        <f t="shared" si="34"/>
        <v>0</v>
      </c>
      <c r="AD36" s="738">
        <f t="shared" si="35"/>
        <v>4000</v>
      </c>
      <c r="AE36" s="202">
        <f t="shared" si="36"/>
        <v>4000</v>
      </c>
      <c r="AF36" s="202">
        <f t="shared" si="37"/>
        <v>0</v>
      </c>
      <c r="AG36" s="738">
        <f>8000*T36</f>
        <v>4000</v>
      </c>
      <c r="AH36" s="202">
        <f>AG36-(R36*T36)</f>
        <v>1540</v>
      </c>
      <c r="AI36" s="203">
        <f>G36*T36</f>
        <v>2460</v>
      </c>
      <c r="AJ36" s="203">
        <f>G36*T36</f>
        <v>2460</v>
      </c>
      <c r="AK36" s="203">
        <f>R36*T36</f>
        <v>2460</v>
      </c>
      <c r="AL36" s="203">
        <f t="shared" si="44"/>
        <v>2460</v>
      </c>
      <c r="AM36" s="203">
        <f t="shared" si="38"/>
        <v>0</v>
      </c>
      <c r="AN36" s="203">
        <f t="shared" si="38"/>
        <v>0</v>
      </c>
      <c r="AO36" s="205">
        <f t="shared" si="39"/>
        <v>0</v>
      </c>
      <c r="AP36" s="205">
        <f t="shared" si="40"/>
        <v>0</v>
      </c>
      <c r="AQ36" s="205">
        <f t="shared" si="41"/>
        <v>1540</v>
      </c>
      <c r="AR36" s="205">
        <f t="shared" si="42"/>
        <v>0</v>
      </c>
      <c r="AS36" s="205">
        <f t="shared" si="43"/>
        <v>0</v>
      </c>
      <c r="AT36" s="209">
        <f t="shared" si="13"/>
        <v>2460</v>
      </c>
      <c r="AU36" s="209">
        <f t="shared" si="13"/>
        <v>2460</v>
      </c>
      <c r="AV36" s="203"/>
      <c r="AW36" s="251">
        <f>R36*T36</f>
        <v>2460</v>
      </c>
      <c r="AX36" s="251">
        <f>13500*T36-AB36</f>
        <v>2750</v>
      </c>
      <c r="AY36" s="661"/>
      <c r="AZ36" s="661"/>
      <c r="BA36" s="661"/>
    </row>
    <row r="37" spans="2:53" s="76" customFormat="1" ht="33">
      <c r="B37" s="703">
        <f t="shared" si="15"/>
        <v>19</v>
      </c>
      <c r="C37" s="197" t="s">
        <v>1384</v>
      </c>
      <c r="D37" s="198"/>
      <c r="E37" s="703" t="s">
        <v>1741</v>
      </c>
      <c r="F37" s="703">
        <v>7</v>
      </c>
      <c r="G37" s="199">
        <v>4920</v>
      </c>
      <c r="H37" s="736"/>
      <c r="I37" s="199"/>
      <c r="J37" s="736"/>
      <c r="K37" s="199"/>
      <c r="L37" s="199"/>
      <c r="M37" s="736"/>
      <c r="N37" s="199"/>
      <c r="O37" s="736"/>
      <c r="P37" s="199"/>
      <c r="Q37" s="199"/>
      <c r="R37" s="199">
        <f t="shared" si="32"/>
        <v>4920</v>
      </c>
      <c r="S37" s="199">
        <v>0.5</v>
      </c>
      <c r="T37" s="199"/>
      <c r="U37" s="206"/>
      <c r="V37" s="741"/>
      <c r="W37" s="206"/>
      <c r="X37" s="718"/>
      <c r="Y37" s="737"/>
      <c r="Z37" s="199"/>
      <c r="AA37" s="199">
        <f t="shared" si="33"/>
        <v>1540</v>
      </c>
      <c r="AB37" s="796">
        <f>(R37+Z37+U37+W37)*S37+AA37</f>
        <v>4000</v>
      </c>
      <c r="AC37" s="738">
        <f t="shared" si="34"/>
        <v>0</v>
      </c>
      <c r="AD37" s="738">
        <f t="shared" si="35"/>
        <v>4000</v>
      </c>
      <c r="AE37" s="202">
        <f t="shared" si="36"/>
        <v>4000</v>
      </c>
      <c r="AF37" s="202">
        <f t="shared" si="37"/>
        <v>0</v>
      </c>
      <c r="AG37" s="738">
        <f>8000*S37</f>
        <v>4000</v>
      </c>
      <c r="AH37" s="202">
        <f>AG37-(R37*S37)</f>
        <v>1540</v>
      </c>
      <c r="AI37" s="203">
        <f>G37*S37</f>
        <v>2460</v>
      </c>
      <c r="AJ37" s="203">
        <f>G37*S37</f>
        <v>2460</v>
      </c>
      <c r="AK37" s="203">
        <f>R37*S37</f>
        <v>2460</v>
      </c>
      <c r="AL37" s="203">
        <f t="shared" si="44"/>
        <v>0</v>
      </c>
      <c r="AM37" s="203">
        <f t="shared" si="38"/>
        <v>0</v>
      </c>
      <c r="AN37" s="203">
        <f t="shared" si="38"/>
        <v>-2460</v>
      </c>
      <c r="AO37" s="205">
        <f t="shared" si="39"/>
        <v>0</v>
      </c>
      <c r="AP37" s="205">
        <f t="shared" si="40"/>
        <v>0</v>
      </c>
      <c r="AQ37" s="205">
        <f t="shared" si="41"/>
        <v>1540</v>
      </c>
      <c r="AR37" s="205">
        <f t="shared" si="42"/>
        <v>0</v>
      </c>
      <c r="AS37" s="205">
        <f t="shared" si="43"/>
        <v>0</v>
      </c>
      <c r="AT37" s="209">
        <f t="shared" si="13"/>
        <v>2460</v>
      </c>
      <c r="AU37" s="209">
        <f t="shared" si="13"/>
        <v>0</v>
      </c>
      <c r="AV37" s="203"/>
      <c r="AW37" s="251">
        <f>R37*S37</f>
        <v>2460</v>
      </c>
      <c r="AX37" s="251">
        <f>13500*S37-AB37</f>
        <v>2750</v>
      </c>
      <c r="AY37" s="661"/>
      <c r="AZ37" s="661"/>
      <c r="BA37" s="661"/>
    </row>
    <row r="38" spans="2:53" s="78" customFormat="1" ht="33">
      <c r="B38" s="703">
        <f t="shared" si="15"/>
        <v>20</v>
      </c>
      <c r="C38" s="197" t="s">
        <v>1247</v>
      </c>
      <c r="D38" s="198"/>
      <c r="E38" s="703" t="s">
        <v>1741</v>
      </c>
      <c r="F38" s="703">
        <v>7</v>
      </c>
      <c r="G38" s="199">
        <v>4920</v>
      </c>
      <c r="H38" s="736"/>
      <c r="I38" s="199"/>
      <c r="J38" s="736"/>
      <c r="K38" s="199"/>
      <c r="L38" s="199"/>
      <c r="M38" s="736"/>
      <c r="N38" s="199"/>
      <c r="O38" s="736"/>
      <c r="P38" s="199"/>
      <c r="Q38" s="199"/>
      <c r="R38" s="199">
        <f t="shared" si="32"/>
        <v>4920</v>
      </c>
      <c r="S38" s="199">
        <v>1</v>
      </c>
      <c r="T38" s="199"/>
      <c r="U38" s="206"/>
      <c r="V38" s="741"/>
      <c r="W38" s="206"/>
      <c r="X38" s="718"/>
      <c r="Y38" s="737"/>
      <c r="Z38" s="199"/>
      <c r="AA38" s="199">
        <f t="shared" si="33"/>
        <v>3080</v>
      </c>
      <c r="AB38" s="796">
        <f>(R38+AA38)*S38</f>
        <v>8000</v>
      </c>
      <c r="AC38" s="738">
        <f t="shared" si="34"/>
        <v>0</v>
      </c>
      <c r="AD38" s="738">
        <f t="shared" si="35"/>
        <v>8000</v>
      </c>
      <c r="AE38" s="202">
        <f t="shared" si="36"/>
        <v>8000</v>
      </c>
      <c r="AF38" s="202">
        <f t="shared" si="37"/>
        <v>0</v>
      </c>
      <c r="AG38" s="738">
        <f>8000*S38</f>
        <v>8000</v>
      </c>
      <c r="AH38" s="202">
        <f>AG38-(R38*S38)</f>
        <v>3080</v>
      </c>
      <c r="AI38" s="203">
        <f>G38*S38</f>
        <v>4920</v>
      </c>
      <c r="AJ38" s="203">
        <f>G38*T38</f>
        <v>0</v>
      </c>
      <c r="AK38" s="203">
        <f>R38*S38</f>
        <v>4920</v>
      </c>
      <c r="AL38" s="203">
        <f t="shared" si="44"/>
        <v>0</v>
      </c>
      <c r="AM38" s="203">
        <f t="shared" si="38"/>
        <v>0</v>
      </c>
      <c r="AN38" s="203">
        <f t="shared" si="38"/>
        <v>0</v>
      </c>
      <c r="AO38" s="205">
        <f t="shared" si="39"/>
        <v>0</v>
      </c>
      <c r="AP38" s="205">
        <f t="shared" si="40"/>
        <v>0</v>
      </c>
      <c r="AQ38" s="205">
        <f t="shared" si="41"/>
        <v>3080</v>
      </c>
      <c r="AR38" s="205">
        <f t="shared" si="42"/>
        <v>0</v>
      </c>
      <c r="AS38" s="205">
        <f t="shared" si="43"/>
        <v>0</v>
      </c>
      <c r="AT38" s="209">
        <f t="shared" si="13"/>
        <v>4920</v>
      </c>
      <c r="AU38" s="209">
        <f t="shared" si="13"/>
        <v>0</v>
      </c>
      <c r="AV38" s="203"/>
      <c r="AW38" s="251">
        <f>R38*S38</f>
        <v>4920</v>
      </c>
      <c r="AX38" s="251">
        <f>13500*S38-AB38</f>
        <v>5500</v>
      </c>
      <c r="AY38" s="661"/>
      <c r="AZ38" s="661"/>
      <c r="BA38" s="661"/>
    </row>
    <row r="39" spans="2:53" s="76" customFormat="1" ht="33">
      <c r="B39" s="703">
        <f t="shared" si="15"/>
        <v>21</v>
      </c>
      <c r="C39" s="197" t="s">
        <v>1378</v>
      </c>
      <c r="D39" s="198"/>
      <c r="E39" s="703" t="s">
        <v>1187</v>
      </c>
      <c r="F39" s="703">
        <v>10</v>
      </c>
      <c r="G39" s="199">
        <v>5815</v>
      </c>
      <c r="H39" s="736"/>
      <c r="I39" s="199"/>
      <c r="J39" s="736"/>
      <c r="K39" s="199"/>
      <c r="L39" s="199"/>
      <c r="M39" s="736"/>
      <c r="N39" s="199"/>
      <c r="O39" s="736"/>
      <c r="P39" s="199"/>
      <c r="Q39" s="199"/>
      <c r="R39" s="199">
        <f t="shared" si="32"/>
        <v>5815</v>
      </c>
      <c r="S39" s="199">
        <v>0.5</v>
      </c>
      <c r="T39" s="199"/>
      <c r="U39" s="206"/>
      <c r="V39" s="741"/>
      <c r="W39" s="206"/>
      <c r="X39" s="718"/>
      <c r="Y39" s="737"/>
      <c r="Z39" s="199"/>
      <c r="AA39" s="199">
        <f t="shared" si="33"/>
        <v>1092.5</v>
      </c>
      <c r="AB39" s="796">
        <f>(R39+Z39+U39+W39)*S39+AA39</f>
        <v>4000</v>
      </c>
      <c r="AC39" s="738">
        <f t="shared" si="34"/>
        <v>0</v>
      </c>
      <c r="AD39" s="738">
        <f t="shared" si="35"/>
        <v>4000</v>
      </c>
      <c r="AE39" s="202">
        <f t="shared" si="36"/>
        <v>4000</v>
      </c>
      <c r="AF39" s="202">
        <f t="shared" si="37"/>
        <v>0</v>
      </c>
      <c r="AG39" s="738">
        <f>8000*S39</f>
        <v>4000</v>
      </c>
      <c r="AH39" s="202">
        <f>AG39-(R39*S39)</f>
        <v>1092.5</v>
      </c>
      <c r="AI39" s="203">
        <f>G39*S39</f>
        <v>2907.5</v>
      </c>
      <c r="AJ39" s="203">
        <f>G39*T39</f>
        <v>0</v>
      </c>
      <c r="AK39" s="203">
        <f>R39*S39</f>
        <v>2907.5</v>
      </c>
      <c r="AL39" s="203">
        <f t="shared" si="44"/>
        <v>0</v>
      </c>
      <c r="AM39" s="203">
        <f>AK39-AI39</f>
        <v>0</v>
      </c>
      <c r="AN39" s="203">
        <f t="shared" si="38"/>
        <v>0</v>
      </c>
      <c r="AO39" s="205">
        <f t="shared" si="39"/>
        <v>0</v>
      </c>
      <c r="AP39" s="205">
        <f t="shared" si="40"/>
        <v>0</v>
      </c>
      <c r="AQ39" s="205">
        <f t="shared" si="41"/>
        <v>1092.5</v>
      </c>
      <c r="AR39" s="205">
        <f t="shared" si="42"/>
        <v>0</v>
      </c>
      <c r="AS39" s="205">
        <f t="shared" si="43"/>
        <v>0</v>
      </c>
      <c r="AT39" s="209">
        <f t="shared" si="13"/>
        <v>2907.5</v>
      </c>
      <c r="AU39" s="209">
        <f>AL39</f>
        <v>0</v>
      </c>
      <c r="AV39" s="203"/>
      <c r="AW39" s="251">
        <f>R39*S39</f>
        <v>2907.5</v>
      </c>
      <c r="AX39" s="251">
        <f>13500*S39-AB39</f>
        <v>2750</v>
      </c>
      <c r="AY39" s="661"/>
      <c r="AZ39" s="661"/>
      <c r="BA39" s="661"/>
    </row>
    <row r="40" spans="2:53" s="76" customFormat="1" ht="33">
      <c r="B40" s="703">
        <f t="shared" si="15"/>
        <v>22</v>
      </c>
      <c r="C40" s="197" t="s">
        <v>1233</v>
      </c>
      <c r="D40" s="198" t="s">
        <v>1234</v>
      </c>
      <c r="E40" s="703" t="s">
        <v>1235</v>
      </c>
      <c r="F40" s="703">
        <v>11</v>
      </c>
      <c r="G40" s="199">
        <v>6294</v>
      </c>
      <c r="H40" s="736"/>
      <c r="I40" s="199"/>
      <c r="J40" s="736"/>
      <c r="K40" s="199"/>
      <c r="L40" s="199"/>
      <c r="M40" s="736"/>
      <c r="N40" s="199"/>
      <c r="O40" s="736"/>
      <c r="P40" s="199"/>
      <c r="Q40" s="199"/>
      <c r="R40" s="199">
        <f t="shared" si="32"/>
        <v>6294</v>
      </c>
      <c r="S40" s="199">
        <v>0.5</v>
      </c>
      <c r="T40" s="206"/>
      <c r="U40" s="206"/>
      <c r="V40" s="741"/>
      <c r="W40" s="206"/>
      <c r="X40" s="718"/>
      <c r="Y40" s="737"/>
      <c r="Z40" s="199"/>
      <c r="AA40" s="199">
        <f t="shared" si="33"/>
        <v>853</v>
      </c>
      <c r="AB40" s="796">
        <f>(R40)*S40+AA40</f>
        <v>4000</v>
      </c>
      <c r="AC40" s="738">
        <f t="shared" si="34"/>
        <v>0</v>
      </c>
      <c r="AD40" s="738">
        <f t="shared" si="35"/>
        <v>4000</v>
      </c>
      <c r="AE40" s="202">
        <f t="shared" si="36"/>
        <v>4000</v>
      </c>
      <c r="AF40" s="202">
        <f t="shared" si="37"/>
        <v>0</v>
      </c>
      <c r="AG40" s="738">
        <f>8000*S40</f>
        <v>4000</v>
      </c>
      <c r="AH40" s="202">
        <f>AG40-(R40*S40)</f>
        <v>853</v>
      </c>
      <c r="AI40" s="203">
        <f>G40*S40</f>
        <v>3147</v>
      </c>
      <c r="AJ40" s="203">
        <f>G40*S40</f>
        <v>3147</v>
      </c>
      <c r="AK40" s="203">
        <f>R40*S40</f>
        <v>3147</v>
      </c>
      <c r="AL40" s="203">
        <f t="shared" si="44"/>
        <v>0</v>
      </c>
      <c r="AM40" s="203">
        <f>AK40-AI40</f>
        <v>0</v>
      </c>
      <c r="AN40" s="203">
        <f t="shared" si="38"/>
        <v>-3147</v>
      </c>
      <c r="AO40" s="205">
        <f t="shared" si="39"/>
        <v>0</v>
      </c>
      <c r="AP40" s="205">
        <f>Z40*S40</f>
        <v>0</v>
      </c>
      <c r="AQ40" s="205">
        <f t="shared" si="41"/>
        <v>853</v>
      </c>
      <c r="AR40" s="205">
        <f t="shared" si="42"/>
        <v>0</v>
      </c>
      <c r="AS40" s="205">
        <f t="shared" si="43"/>
        <v>0</v>
      </c>
      <c r="AT40" s="209">
        <f t="shared" si="13"/>
        <v>3147</v>
      </c>
      <c r="AU40" s="209">
        <f t="shared" si="13"/>
        <v>0</v>
      </c>
      <c r="AV40" s="203"/>
      <c r="AW40" s="251">
        <f>R40*S40</f>
        <v>3147</v>
      </c>
      <c r="AX40" s="251">
        <f>13500*S40-AB40</f>
        <v>2750</v>
      </c>
      <c r="AY40" s="661"/>
      <c r="AZ40" s="661"/>
      <c r="BA40" s="661"/>
    </row>
    <row r="41" spans="2:53" s="76" customFormat="1" ht="37.5" customHeight="1">
      <c r="B41" s="703">
        <f t="shared" si="15"/>
        <v>23</v>
      </c>
      <c r="C41" s="197" t="s">
        <v>141</v>
      </c>
      <c r="D41" s="198"/>
      <c r="E41" s="703" t="s">
        <v>1377</v>
      </c>
      <c r="F41" s="703">
        <v>7</v>
      </c>
      <c r="G41" s="199">
        <v>4920</v>
      </c>
      <c r="H41" s="736"/>
      <c r="I41" s="199"/>
      <c r="J41" s="736"/>
      <c r="K41" s="199"/>
      <c r="L41" s="199"/>
      <c r="M41" s="736"/>
      <c r="N41" s="199"/>
      <c r="O41" s="736"/>
      <c r="P41" s="199"/>
      <c r="Q41" s="199"/>
      <c r="R41" s="199">
        <f t="shared" si="32"/>
        <v>4920</v>
      </c>
      <c r="S41" s="199"/>
      <c r="T41" s="206">
        <v>0.5</v>
      </c>
      <c r="U41" s="206"/>
      <c r="V41" s="741"/>
      <c r="W41" s="206"/>
      <c r="X41" s="718"/>
      <c r="Y41" s="737"/>
      <c r="Z41" s="199"/>
      <c r="AA41" s="199">
        <f t="shared" si="33"/>
        <v>1540</v>
      </c>
      <c r="AB41" s="796">
        <f>(R41+Z41+U41+W41)*T41+AA41</f>
        <v>4000</v>
      </c>
      <c r="AC41" s="738">
        <f t="shared" si="34"/>
        <v>0</v>
      </c>
      <c r="AD41" s="738">
        <f t="shared" si="35"/>
        <v>4000</v>
      </c>
      <c r="AE41" s="202">
        <f t="shared" si="36"/>
        <v>4000</v>
      </c>
      <c r="AF41" s="202">
        <f t="shared" si="37"/>
        <v>0</v>
      </c>
      <c r="AG41" s="738">
        <f>8000*T41</f>
        <v>4000</v>
      </c>
      <c r="AH41" s="202">
        <f>AG41-(R41*T41)</f>
        <v>1540</v>
      </c>
      <c r="AI41" s="203">
        <f>G41*T41</f>
        <v>2460</v>
      </c>
      <c r="AJ41" s="203">
        <f>G41*T41</f>
        <v>2460</v>
      </c>
      <c r="AK41" s="203">
        <f>R41*T41</f>
        <v>2460</v>
      </c>
      <c r="AL41" s="203">
        <f t="shared" si="44"/>
        <v>2460</v>
      </c>
      <c r="AM41" s="203">
        <f>AK41-AI41</f>
        <v>0</v>
      </c>
      <c r="AN41" s="203">
        <f t="shared" si="38"/>
        <v>0</v>
      </c>
      <c r="AO41" s="205">
        <f>Z41*T41</f>
        <v>0</v>
      </c>
      <c r="AP41" s="205"/>
      <c r="AQ41" s="205"/>
      <c r="AR41" s="205"/>
      <c r="AS41" s="205"/>
      <c r="AT41" s="209"/>
      <c r="AU41" s="209">
        <f t="shared" si="13"/>
        <v>2460</v>
      </c>
      <c r="AV41" s="203"/>
      <c r="AW41" s="251">
        <f>R41*T41</f>
        <v>2460</v>
      </c>
      <c r="AX41" s="251">
        <f>13500*T41-AB41</f>
        <v>2750</v>
      </c>
      <c r="AY41" s="661"/>
      <c r="AZ41" s="661"/>
      <c r="BA41" s="661"/>
    </row>
    <row r="42" spans="2:53" s="76" customFormat="1" ht="31.5">
      <c r="B42" s="703"/>
      <c r="C42" s="180" t="s">
        <v>1736</v>
      </c>
      <c r="D42" s="207"/>
      <c r="E42" s="193"/>
      <c r="F42" s="193"/>
      <c r="G42" s="183">
        <f>SUM(G34:G41)</f>
        <v>42524</v>
      </c>
      <c r="H42" s="742"/>
      <c r="I42" s="183"/>
      <c r="J42" s="742"/>
      <c r="K42" s="183"/>
      <c r="L42" s="183"/>
      <c r="M42" s="742"/>
      <c r="N42" s="183"/>
      <c r="O42" s="742"/>
      <c r="P42" s="183"/>
      <c r="Q42" s="183"/>
      <c r="R42" s="183">
        <f>SUM(R34:R41)</f>
        <v>42524</v>
      </c>
      <c r="S42" s="183">
        <f>SUM(S34:S41)</f>
        <v>4.5</v>
      </c>
      <c r="T42" s="183">
        <f>SUM(T34:T41)</f>
        <v>1</v>
      </c>
      <c r="U42" s="183"/>
      <c r="V42" s="742"/>
      <c r="W42" s="183"/>
      <c r="X42" s="742"/>
      <c r="Y42" s="742"/>
      <c r="Z42" s="183"/>
      <c r="AA42" s="183">
        <f>SUM(AA34:AA41)</f>
        <v>14910.5</v>
      </c>
      <c r="AB42" s="797">
        <f>SUM(AB34:AB41)</f>
        <v>44000</v>
      </c>
      <c r="AC42" s="183">
        <f>SUM(AC34:AC41)</f>
        <v>0</v>
      </c>
      <c r="AD42" s="183">
        <f>SUM(AD34:AD41)</f>
        <v>44000</v>
      </c>
      <c r="AE42" s="183">
        <f>SUM(AE34:AE41)</f>
        <v>44000</v>
      </c>
      <c r="AF42" s="183">
        <f t="shared" ref="AF42:AN42" si="45">SUM(AF34:AF41)</f>
        <v>0</v>
      </c>
      <c r="AG42" s="183">
        <f>SUM(AG34:AG41)</f>
        <v>44000</v>
      </c>
      <c r="AH42" s="183">
        <f t="shared" si="45"/>
        <v>14910.5</v>
      </c>
      <c r="AI42" s="183">
        <f t="shared" si="45"/>
        <v>29089.5</v>
      </c>
      <c r="AJ42" s="183">
        <f t="shared" si="45"/>
        <v>10527</v>
      </c>
      <c r="AK42" s="183">
        <f t="shared" si="45"/>
        <v>29089.5</v>
      </c>
      <c r="AL42" s="183">
        <f t="shared" si="45"/>
        <v>4920</v>
      </c>
      <c r="AM42" s="183">
        <f t="shared" si="45"/>
        <v>0</v>
      </c>
      <c r="AN42" s="183">
        <f t="shared" si="45"/>
        <v>-5607</v>
      </c>
      <c r="AO42" s="183">
        <f t="shared" ref="AO42:AT42" si="46">SUM(AO34:AO40)</f>
        <v>0</v>
      </c>
      <c r="AP42" s="183">
        <f t="shared" si="46"/>
        <v>0</v>
      </c>
      <c r="AQ42" s="183">
        <f t="shared" si="46"/>
        <v>13370.5</v>
      </c>
      <c r="AR42" s="183">
        <f t="shared" si="46"/>
        <v>0</v>
      </c>
      <c r="AS42" s="183">
        <f t="shared" si="46"/>
        <v>0</v>
      </c>
      <c r="AT42" s="183">
        <f t="shared" si="46"/>
        <v>26629.5</v>
      </c>
      <c r="AU42" s="183">
        <f>SUM(AU34:AU41)</f>
        <v>4920</v>
      </c>
      <c r="AV42" s="183">
        <f>SUM(AV34:AV40)</f>
        <v>0</v>
      </c>
      <c r="AW42" s="183">
        <f>SUM(AW34:AW41)</f>
        <v>29089.5</v>
      </c>
      <c r="AX42" s="183">
        <f>SUM(AX34:AX41)</f>
        <v>30250</v>
      </c>
      <c r="AY42" s="661"/>
      <c r="AZ42" s="661"/>
      <c r="BA42" s="661"/>
    </row>
    <row r="43" spans="2:53" s="76" customFormat="1" ht="33">
      <c r="B43" s="703"/>
      <c r="C43" s="193" t="s">
        <v>1880</v>
      </c>
      <c r="D43" s="207"/>
      <c r="E43" s="193"/>
      <c r="F43" s="193"/>
      <c r="G43" s="183"/>
      <c r="H43" s="742"/>
      <c r="I43" s="183"/>
      <c r="J43" s="742"/>
      <c r="K43" s="183"/>
      <c r="L43" s="183"/>
      <c r="M43" s="742"/>
      <c r="N43" s="183"/>
      <c r="O43" s="742"/>
      <c r="P43" s="183"/>
      <c r="Q43" s="183"/>
      <c r="R43" s="183"/>
      <c r="S43" s="183"/>
      <c r="T43" s="183"/>
      <c r="U43" s="183"/>
      <c r="V43" s="742"/>
      <c r="W43" s="183"/>
      <c r="X43" s="742"/>
      <c r="Y43" s="742"/>
      <c r="Z43" s="183"/>
      <c r="AA43" s="183"/>
      <c r="AB43" s="797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9"/>
      <c r="AU43" s="209"/>
      <c r="AV43" s="208"/>
      <c r="AW43" s="221"/>
      <c r="AX43" s="251"/>
      <c r="AY43" s="661"/>
      <c r="AZ43" s="661"/>
      <c r="BA43" s="661"/>
    </row>
    <row r="44" spans="2:53" s="76" customFormat="1" ht="33">
      <c r="B44" s="703">
        <v>24</v>
      </c>
      <c r="C44" s="197" t="s">
        <v>1228</v>
      </c>
      <c r="D44" s="198"/>
      <c r="E44" s="703" t="s">
        <v>1229</v>
      </c>
      <c r="F44" s="703">
        <v>7</v>
      </c>
      <c r="G44" s="199">
        <v>4920</v>
      </c>
      <c r="H44" s="736"/>
      <c r="I44" s="199"/>
      <c r="J44" s="736"/>
      <c r="K44" s="199"/>
      <c r="L44" s="199"/>
      <c r="M44" s="736"/>
      <c r="N44" s="199"/>
      <c r="O44" s="736"/>
      <c r="P44" s="199"/>
      <c r="Q44" s="199"/>
      <c r="R44" s="199">
        <f>G44+I44+K44+L44+N44+P44+Q44</f>
        <v>4920</v>
      </c>
      <c r="S44" s="199">
        <v>1</v>
      </c>
      <c r="T44" s="206"/>
      <c r="U44" s="206"/>
      <c r="V44" s="741"/>
      <c r="W44" s="206"/>
      <c r="X44" s="718"/>
      <c r="Y44" s="737"/>
      <c r="Z44" s="199"/>
      <c r="AA44" s="199">
        <f>AH44</f>
        <v>3080</v>
      </c>
      <c r="AB44" s="796">
        <f>(R44+AA44)*S44</f>
        <v>8000</v>
      </c>
      <c r="AC44" s="738">
        <f>AF44</f>
        <v>0</v>
      </c>
      <c r="AD44" s="738">
        <f>AB44+AC44</f>
        <v>8000</v>
      </c>
      <c r="AE44" s="202">
        <f>AB44</f>
        <v>8000</v>
      </c>
      <c r="AF44" s="202">
        <f>AE44-AB44</f>
        <v>0</v>
      </c>
      <c r="AG44" s="738">
        <f>8000*S44</f>
        <v>8000</v>
      </c>
      <c r="AH44" s="202">
        <f>AG44-(R44*S44)</f>
        <v>3080</v>
      </c>
      <c r="AI44" s="203">
        <f>G44*S44</f>
        <v>4920</v>
      </c>
      <c r="AJ44" s="203">
        <f>G44*T44</f>
        <v>0</v>
      </c>
      <c r="AK44" s="203">
        <f>R44*S44</f>
        <v>4920</v>
      </c>
      <c r="AL44" s="203">
        <f>R44*T44</f>
        <v>0</v>
      </c>
      <c r="AM44" s="203">
        <f>AK44-AI44</f>
        <v>0</v>
      </c>
      <c r="AN44" s="203">
        <f>AL44-AJ44</f>
        <v>0</v>
      </c>
      <c r="AO44" s="205">
        <f>Z44*S44</f>
        <v>0</v>
      </c>
      <c r="AP44" s="205">
        <f>Z44*T44</f>
        <v>0</v>
      </c>
      <c r="AQ44" s="205">
        <f>AA44</f>
        <v>3080</v>
      </c>
      <c r="AR44" s="205">
        <f>W44*S44</f>
        <v>0</v>
      </c>
      <c r="AS44" s="205">
        <f>W44*T44</f>
        <v>0</v>
      </c>
      <c r="AT44" s="209">
        <f t="shared" si="13"/>
        <v>4920</v>
      </c>
      <c r="AU44" s="209">
        <f t="shared" si="13"/>
        <v>0</v>
      </c>
      <c r="AV44" s="203"/>
      <c r="AW44" s="251">
        <f t="shared" ref="AW44:AW51" si="47">R44*S44</f>
        <v>4920</v>
      </c>
      <c r="AX44" s="251">
        <f>13500*S44-AB44</f>
        <v>5500</v>
      </c>
      <c r="AY44" s="661"/>
      <c r="AZ44" s="661"/>
      <c r="BA44" s="661"/>
    </row>
    <row r="45" spans="2:53" s="76" customFormat="1" ht="33">
      <c r="B45" s="703"/>
      <c r="C45" s="213" t="s">
        <v>1868</v>
      </c>
      <c r="D45" s="198"/>
      <c r="E45" s="703"/>
      <c r="F45" s="703"/>
      <c r="G45" s="199"/>
      <c r="H45" s="736"/>
      <c r="I45" s="199"/>
      <c r="J45" s="736"/>
      <c r="K45" s="199"/>
      <c r="L45" s="199"/>
      <c r="M45" s="736"/>
      <c r="N45" s="199"/>
      <c r="O45" s="736"/>
      <c r="P45" s="199"/>
      <c r="Q45" s="199"/>
      <c r="R45" s="199"/>
      <c r="S45" s="199"/>
      <c r="T45" s="206"/>
      <c r="U45" s="206"/>
      <c r="V45" s="741"/>
      <c r="W45" s="206"/>
      <c r="X45" s="718"/>
      <c r="Y45" s="737"/>
      <c r="Z45" s="199"/>
      <c r="AA45" s="199"/>
      <c r="AB45" s="796"/>
      <c r="AC45" s="738"/>
      <c r="AD45" s="738"/>
      <c r="AE45" s="202"/>
      <c r="AF45" s="202"/>
      <c r="AG45" s="738"/>
      <c r="AH45" s="202"/>
      <c r="AI45" s="203"/>
      <c r="AJ45" s="203"/>
      <c r="AK45" s="203"/>
      <c r="AL45" s="203">
        <f t="shared" ref="AL45:AL86" si="48">R45*T45</f>
        <v>0</v>
      </c>
      <c r="AM45" s="203"/>
      <c r="AN45" s="203"/>
      <c r="AO45" s="205"/>
      <c r="AP45" s="205"/>
      <c r="AQ45" s="205"/>
      <c r="AR45" s="205"/>
      <c r="AS45" s="205"/>
      <c r="AT45" s="209"/>
      <c r="AU45" s="209"/>
      <c r="AV45" s="203"/>
      <c r="AW45" s="251"/>
      <c r="AX45" s="251"/>
      <c r="AY45" s="661"/>
      <c r="AZ45" s="661"/>
      <c r="BA45" s="661"/>
    </row>
    <row r="46" spans="2:53" s="76" customFormat="1" ht="33">
      <c r="B46" s="703">
        <f>B44+1</f>
        <v>25</v>
      </c>
      <c r="C46" s="197" t="s">
        <v>1230</v>
      </c>
      <c r="D46" s="198"/>
      <c r="E46" s="703" t="s">
        <v>1376</v>
      </c>
      <c r="F46" s="703">
        <v>6</v>
      </c>
      <c r="G46" s="199">
        <v>4633</v>
      </c>
      <c r="H46" s="736"/>
      <c r="I46" s="199"/>
      <c r="J46" s="736"/>
      <c r="K46" s="199"/>
      <c r="L46" s="199"/>
      <c r="M46" s="736"/>
      <c r="N46" s="199"/>
      <c r="O46" s="736"/>
      <c r="P46" s="199"/>
      <c r="Q46" s="199"/>
      <c r="R46" s="199">
        <f>G46+I46+K46+L46+N46+P46+Q46</f>
        <v>4633</v>
      </c>
      <c r="S46" s="199">
        <v>1</v>
      </c>
      <c r="T46" s="206"/>
      <c r="U46" s="206"/>
      <c r="V46" s="741"/>
      <c r="W46" s="206"/>
      <c r="X46" s="718"/>
      <c r="Y46" s="737"/>
      <c r="Z46" s="199"/>
      <c r="AA46" s="199">
        <f>AH46</f>
        <v>3367</v>
      </c>
      <c r="AB46" s="796">
        <f>(R46+AA46)*S46</f>
        <v>8000</v>
      </c>
      <c r="AC46" s="738">
        <f>AF46</f>
        <v>0</v>
      </c>
      <c r="AD46" s="738">
        <f>AB46+AC46</f>
        <v>8000</v>
      </c>
      <c r="AE46" s="202">
        <f>AB46</f>
        <v>8000</v>
      </c>
      <c r="AF46" s="202">
        <f>AE46-AB46</f>
        <v>0</v>
      </c>
      <c r="AG46" s="738">
        <f>8000*S46</f>
        <v>8000</v>
      </c>
      <c r="AH46" s="202">
        <f>AG46-(R46*S46)</f>
        <v>3367</v>
      </c>
      <c r="AI46" s="203">
        <f>G46*S46</f>
        <v>4633</v>
      </c>
      <c r="AJ46" s="203">
        <f>G46*T46</f>
        <v>0</v>
      </c>
      <c r="AK46" s="203">
        <f>R46*S46</f>
        <v>4633</v>
      </c>
      <c r="AL46" s="203">
        <f t="shared" si="48"/>
        <v>0</v>
      </c>
      <c r="AM46" s="203">
        <f>AK46-AI46</f>
        <v>0</v>
      </c>
      <c r="AN46" s="203">
        <f>AL46-AJ46</f>
        <v>0</v>
      </c>
      <c r="AO46" s="205">
        <f>Z46*S46</f>
        <v>0</v>
      </c>
      <c r="AP46" s="205">
        <f>Z46*T46</f>
        <v>0</v>
      </c>
      <c r="AQ46" s="205">
        <f>AA46</f>
        <v>3367</v>
      </c>
      <c r="AR46" s="205">
        <f>W46*S46</f>
        <v>0</v>
      </c>
      <c r="AS46" s="205">
        <f>W46*T46</f>
        <v>0</v>
      </c>
      <c r="AT46" s="209">
        <f t="shared" si="13"/>
        <v>4633</v>
      </c>
      <c r="AU46" s="209">
        <f t="shared" si="13"/>
        <v>0</v>
      </c>
      <c r="AV46" s="203"/>
      <c r="AW46" s="251">
        <f t="shared" si="47"/>
        <v>4633</v>
      </c>
      <c r="AX46" s="251">
        <f>13500*S46-AB46</f>
        <v>5500</v>
      </c>
      <c r="AY46" s="661"/>
      <c r="AZ46" s="661"/>
      <c r="BA46" s="661"/>
    </row>
    <row r="47" spans="2:53" s="76" customFormat="1" ht="33">
      <c r="B47" s="703">
        <f t="shared" si="15"/>
        <v>26</v>
      </c>
      <c r="C47" s="197" t="s">
        <v>1230</v>
      </c>
      <c r="D47" s="198"/>
      <c r="E47" s="703" t="s">
        <v>1231</v>
      </c>
      <c r="F47" s="703">
        <v>6</v>
      </c>
      <c r="G47" s="199">
        <v>4633</v>
      </c>
      <c r="H47" s="736"/>
      <c r="I47" s="199"/>
      <c r="J47" s="736"/>
      <c r="K47" s="199"/>
      <c r="L47" s="199"/>
      <c r="M47" s="736"/>
      <c r="N47" s="199"/>
      <c r="O47" s="736"/>
      <c r="P47" s="199"/>
      <c r="Q47" s="199"/>
      <c r="R47" s="199">
        <f>G47+I47+K47+L47+N47+P47+Q47</f>
        <v>4633</v>
      </c>
      <c r="S47" s="199">
        <v>1</v>
      </c>
      <c r="T47" s="206"/>
      <c r="U47" s="206"/>
      <c r="V47" s="741"/>
      <c r="W47" s="206"/>
      <c r="X47" s="718"/>
      <c r="Y47" s="737"/>
      <c r="Z47" s="199"/>
      <c r="AA47" s="199">
        <f>AH47</f>
        <v>3367</v>
      </c>
      <c r="AB47" s="796">
        <f>(R47+AA47)*S47</f>
        <v>8000</v>
      </c>
      <c r="AC47" s="738">
        <f>AF47</f>
        <v>0</v>
      </c>
      <c r="AD47" s="738">
        <f>AB47+AC47</f>
        <v>8000</v>
      </c>
      <c r="AE47" s="202">
        <f>AB47</f>
        <v>8000</v>
      </c>
      <c r="AF47" s="202">
        <f>AE47-AB47</f>
        <v>0</v>
      </c>
      <c r="AG47" s="738">
        <f>8000*S47</f>
        <v>8000</v>
      </c>
      <c r="AH47" s="202">
        <f>AG47-(R47*S47)</f>
        <v>3367</v>
      </c>
      <c r="AI47" s="203">
        <f>G47*S47</f>
        <v>4633</v>
      </c>
      <c r="AJ47" s="203">
        <f>G47*T47</f>
        <v>0</v>
      </c>
      <c r="AK47" s="203">
        <f>R47*S47</f>
        <v>4633</v>
      </c>
      <c r="AL47" s="203">
        <f t="shared" si="48"/>
        <v>0</v>
      </c>
      <c r="AM47" s="203">
        <f>AK47-AI47</f>
        <v>0</v>
      </c>
      <c r="AN47" s="203">
        <f>AL47-AJ47</f>
        <v>0</v>
      </c>
      <c r="AO47" s="205">
        <f>Z47*S47</f>
        <v>0</v>
      </c>
      <c r="AP47" s="205">
        <f>Z47*T47</f>
        <v>0</v>
      </c>
      <c r="AQ47" s="205">
        <f>AA47</f>
        <v>3367</v>
      </c>
      <c r="AR47" s="205">
        <f>W47*S47</f>
        <v>0</v>
      </c>
      <c r="AS47" s="205">
        <f>W47*T47</f>
        <v>0</v>
      </c>
      <c r="AT47" s="209">
        <f t="shared" si="13"/>
        <v>4633</v>
      </c>
      <c r="AU47" s="209">
        <f t="shared" si="13"/>
        <v>0</v>
      </c>
      <c r="AV47" s="203"/>
      <c r="AW47" s="251">
        <f t="shared" si="47"/>
        <v>4633</v>
      </c>
      <c r="AX47" s="251">
        <f>13500*S47-AB47</f>
        <v>5500</v>
      </c>
      <c r="AY47" s="661"/>
      <c r="AZ47" s="661"/>
      <c r="BA47" s="661"/>
    </row>
    <row r="48" spans="2:53" s="76" customFormat="1" ht="33">
      <c r="B48" s="703"/>
      <c r="C48" s="213" t="s">
        <v>1869</v>
      </c>
      <c r="D48" s="198"/>
      <c r="E48" s="703"/>
      <c r="F48" s="703"/>
      <c r="G48" s="199"/>
      <c r="H48" s="736"/>
      <c r="I48" s="199"/>
      <c r="J48" s="736"/>
      <c r="K48" s="199"/>
      <c r="L48" s="199"/>
      <c r="M48" s="736"/>
      <c r="N48" s="199"/>
      <c r="O48" s="736"/>
      <c r="P48" s="199"/>
      <c r="Q48" s="199"/>
      <c r="R48" s="199"/>
      <c r="S48" s="199"/>
      <c r="T48" s="206"/>
      <c r="U48" s="206"/>
      <c r="V48" s="741"/>
      <c r="W48" s="206"/>
      <c r="X48" s="718"/>
      <c r="Y48" s="737"/>
      <c r="Z48" s="199"/>
      <c r="AA48" s="199"/>
      <c r="AB48" s="796"/>
      <c r="AC48" s="738"/>
      <c r="AD48" s="738"/>
      <c r="AE48" s="202"/>
      <c r="AF48" s="202"/>
      <c r="AG48" s="738"/>
      <c r="AH48" s="202"/>
      <c r="AI48" s="203"/>
      <c r="AJ48" s="203"/>
      <c r="AK48" s="203"/>
      <c r="AL48" s="203">
        <f t="shared" si="48"/>
        <v>0</v>
      </c>
      <c r="AM48" s="203"/>
      <c r="AN48" s="203"/>
      <c r="AO48" s="205"/>
      <c r="AP48" s="205"/>
      <c r="AQ48" s="205"/>
      <c r="AR48" s="205"/>
      <c r="AS48" s="205"/>
      <c r="AT48" s="209"/>
      <c r="AU48" s="209"/>
      <c r="AV48" s="203"/>
      <c r="AW48" s="251"/>
      <c r="AX48" s="251"/>
      <c r="AY48" s="661"/>
      <c r="AZ48" s="661"/>
      <c r="BA48" s="661"/>
    </row>
    <row r="49" spans="2:53" s="76" customFormat="1" ht="33">
      <c r="B49" s="703">
        <f>B47+1</f>
        <v>27</v>
      </c>
      <c r="C49" s="197" t="s">
        <v>1248</v>
      </c>
      <c r="D49" s="198" t="s">
        <v>1249</v>
      </c>
      <c r="E49" s="703" t="s">
        <v>1250</v>
      </c>
      <c r="F49" s="703">
        <v>3</v>
      </c>
      <c r="G49" s="199">
        <v>3770</v>
      </c>
      <c r="H49" s="737">
        <v>0.2</v>
      </c>
      <c r="I49" s="703">
        <f t="shared" ref="I49:I54" si="49">G49*H49</f>
        <v>754</v>
      </c>
      <c r="J49" s="736"/>
      <c r="K49" s="199"/>
      <c r="L49" s="199"/>
      <c r="M49" s="736"/>
      <c r="N49" s="199"/>
      <c r="O49" s="736"/>
      <c r="P49" s="199"/>
      <c r="Q49" s="199"/>
      <c r="R49" s="199">
        <f t="shared" ref="R49:R65" si="50">G49+I49+K49+L49+N49+P49+Q49</f>
        <v>4524</v>
      </c>
      <c r="S49" s="199">
        <v>1</v>
      </c>
      <c r="T49" s="206"/>
      <c r="U49" s="206"/>
      <c r="V49" s="741"/>
      <c r="W49" s="206"/>
      <c r="X49" s="718"/>
      <c r="Y49" s="737"/>
      <c r="Z49" s="199"/>
      <c r="AA49" s="199">
        <f t="shared" ref="AA49:AA54" si="51">AH49</f>
        <v>3476</v>
      </c>
      <c r="AB49" s="796">
        <f>(R49+AA49)*S49</f>
        <v>8000</v>
      </c>
      <c r="AC49" s="738">
        <f t="shared" ref="AC49:AC65" si="52">AF49</f>
        <v>0</v>
      </c>
      <c r="AD49" s="738">
        <f t="shared" ref="AD49:AD73" si="53">AB49+AC49</f>
        <v>8000</v>
      </c>
      <c r="AE49" s="202">
        <f t="shared" ref="AE49:AE73" si="54">AB49</f>
        <v>8000</v>
      </c>
      <c r="AF49" s="202">
        <f t="shared" ref="AF49:AF64" si="55">AE49-AB49</f>
        <v>0</v>
      </c>
      <c r="AG49" s="738">
        <f>8000*S49</f>
        <v>8000</v>
      </c>
      <c r="AH49" s="202">
        <f>AG49-(R49*S49)</f>
        <v>3476</v>
      </c>
      <c r="AI49" s="203">
        <f t="shared" ref="AI49:AI63" si="56">G49*S49</f>
        <v>3770</v>
      </c>
      <c r="AJ49" s="203">
        <f t="shared" ref="AJ49:AJ64" si="57">G49*T49</f>
        <v>0</v>
      </c>
      <c r="AK49" s="203">
        <f t="shared" ref="AK49:AK64" si="58">R49*S49</f>
        <v>4524</v>
      </c>
      <c r="AL49" s="203">
        <f t="shared" si="48"/>
        <v>0</v>
      </c>
      <c r="AM49" s="203">
        <f t="shared" ref="AM49:AN65" si="59">AK49-AI49</f>
        <v>754</v>
      </c>
      <c r="AN49" s="203">
        <f t="shared" si="59"/>
        <v>0</v>
      </c>
      <c r="AO49" s="205">
        <f t="shared" ref="AO49:AO65" si="60">Z49*S49</f>
        <v>0</v>
      </c>
      <c r="AP49" s="205">
        <f t="shared" ref="AP49:AP65" si="61">Z49*T49</f>
        <v>0</v>
      </c>
      <c r="AQ49" s="205">
        <f t="shared" ref="AQ49:AQ65" si="62">AA49</f>
        <v>3476</v>
      </c>
      <c r="AR49" s="205">
        <f t="shared" ref="AR49:AR65" si="63">W49*S49</f>
        <v>0</v>
      </c>
      <c r="AS49" s="205">
        <f t="shared" ref="AS49:AS65" si="64">W49*T49</f>
        <v>0</v>
      </c>
      <c r="AT49" s="209">
        <f>AK49</f>
        <v>4524</v>
      </c>
      <c r="AU49" s="209">
        <f t="shared" si="13"/>
        <v>0</v>
      </c>
      <c r="AV49" s="203"/>
      <c r="AW49" s="251">
        <f t="shared" si="47"/>
        <v>4524</v>
      </c>
      <c r="AX49" s="251"/>
      <c r="AY49" s="661"/>
      <c r="AZ49" s="661"/>
      <c r="BA49" s="661"/>
    </row>
    <row r="50" spans="2:53" s="76" customFormat="1" ht="33">
      <c r="B50" s="703">
        <f t="shared" si="15"/>
        <v>28</v>
      </c>
      <c r="C50" s="197" t="s">
        <v>1248</v>
      </c>
      <c r="D50" s="198" t="s">
        <v>1249</v>
      </c>
      <c r="E50" s="703" t="s">
        <v>1250</v>
      </c>
      <c r="F50" s="703">
        <v>3</v>
      </c>
      <c r="G50" s="199">
        <v>3770</v>
      </c>
      <c r="H50" s="737">
        <v>0.2</v>
      </c>
      <c r="I50" s="703">
        <f t="shared" si="49"/>
        <v>754</v>
      </c>
      <c r="J50" s="736"/>
      <c r="K50" s="199"/>
      <c r="L50" s="199"/>
      <c r="M50" s="736"/>
      <c r="N50" s="199"/>
      <c r="O50" s="736"/>
      <c r="P50" s="199"/>
      <c r="Q50" s="199"/>
      <c r="R50" s="199">
        <f t="shared" si="50"/>
        <v>4524</v>
      </c>
      <c r="S50" s="199"/>
      <c r="T50" s="199">
        <v>0.5</v>
      </c>
      <c r="U50" s="206"/>
      <c r="V50" s="741"/>
      <c r="W50" s="206"/>
      <c r="X50" s="718"/>
      <c r="Y50" s="737"/>
      <c r="Z50" s="199"/>
      <c r="AA50" s="199">
        <f t="shared" si="51"/>
        <v>1738</v>
      </c>
      <c r="AB50" s="796">
        <f>(R50+Z50+U50+W50)*T50+AA50</f>
        <v>4000</v>
      </c>
      <c r="AC50" s="738">
        <f t="shared" si="52"/>
        <v>0</v>
      </c>
      <c r="AD50" s="738">
        <f t="shared" si="53"/>
        <v>4000</v>
      </c>
      <c r="AE50" s="202">
        <f t="shared" si="54"/>
        <v>4000</v>
      </c>
      <c r="AF50" s="202">
        <f t="shared" si="55"/>
        <v>0</v>
      </c>
      <c r="AG50" s="738">
        <f>8000*T50</f>
        <v>4000</v>
      </c>
      <c r="AH50" s="202">
        <f>AG50-(R50*T50)</f>
        <v>1738</v>
      </c>
      <c r="AI50" s="203">
        <f t="shared" si="56"/>
        <v>0</v>
      </c>
      <c r="AJ50" s="203">
        <f>G50*T50</f>
        <v>1885</v>
      </c>
      <c r="AK50" s="203">
        <f>R50*T50</f>
        <v>2262</v>
      </c>
      <c r="AL50" s="203">
        <f t="shared" si="48"/>
        <v>2262</v>
      </c>
      <c r="AM50" s="203">
        <f t="shared" si="59"/>
        <v>2262</v>
      </c>
      <c r="AN50" s="203">
        <f t="shared" si="59"/>
        <v>377</v>
      </c>
      <c r="AO50" s="205">
        <f t="shared" si="60"/>
        <v>0</v>
      </c>
      <c r="AP50" s="205">
        <f t="shared" si="61"/>
        <v>0</v>
      </c>
      <c r="AQ50" s="205">
        <f>AA50</f>
        <v>1738</v>
      </c>
      <c r="AR50" s="205">
        <f t="shared" si="63"/>
        <v>0</v>
      </c>
      <c r="AS50" s="205">
        <f t="shared" si="64"/>
        <v>0</v>
      </c>
      <c r="AT50" s="209">
        <f>AK50</f>
        <v>2262</v>
      </c>
      <c r="AU50" s="209">
        <f t="shared" si="13"/>
        <v>2262</v>
      </c>
      <c r="AV50" s="203"/>
      <c r="AW50" s="251">
        <f>R50*T50</f>
        <v>2262</v>
      </c>
      <c r="AX50" s="251"/>
      <c r="AY50" s="661"/>
      <c r="AZ50" s="661"/>
      <c r="BA50" s="661"/>
    </row>
    <row r="51" spans="2:53" s="76" customFormat="1" ht="33">
      <c r="B51" s="703">
        <f t="shared" si="15"/>
        <v>29</v>
      </c>
      <c r="C51" s="197" t="s">
        <v>1248</v>
      </c>
      <c r="D51" s="198" t="s">
        <v>1249</v>
      </c>
      <c r="E51" s="703" t="s">
        <v>1251</v>
      </c>
      <c r="F51" s="703">
        <v>4</v>
      </c>
      <c r="G51" s="199">
        <v>4058</v>
      </c>
      <c r="H51" s="737">
        <v>0.2</v>
      </c>
      <c r="I51" s="703">
        <f t="shared" si="49"/>
        <v>811.6</v>
      </c>
      <c r="J51" s="736"/>
      <c r="K51" s="199"/>
      <c r="L51" s="199"/>
      <c r="M51" s="736"/>
      <c r="N51" s="199"/>
      <c r="O51" s="736"/>
      <c r="P51" s="199"/>
      <c r="Q51" s="199"/>
      <c r="R51" s="199">
        <f t="shared" si="50"/>
        <v>4869.6000000000004</v>
      </c>
      <c r="S51" s="199">
        <v>1</v>
      </c>
      <c r="T51" s="199"/>
      <c r="U51" s="206"/>
      <c r="V51" s="741"/>
      <c r="W51" s="206"/>
      <c r="X51" s="718"/>
      <c r="Y51" s="737"/>
      <c r="Z51" s="199"/>
      <c r="AA51" s="199">
        <f t="shared" si="51"/>
        <v>3130.3999999999996</v>
      </c>
      <c r="AB51" s="796">
        <f>(R51+AA51)*S51</f>
        <v>8000</v>
      </c>
      <c r="AC51" s="738">
        <f t="shared" si="52"/>
        <v>0</v>
      </c>
      <c r="AD51" s="738">
        <f t="shared" si="53"/>
        <v>8000</v>
      </c>
      <c r="AE51" s="202">
        <f t="shared" si="54"/>
        <v>8000</v>
      </c>
      <c r="AF51" s="202">
        <f t="shared" si="55"/>
        <v>0</v>
      </c>
      <c r="AG51" s="738">
        <f>8000*S51</f>
        <v>8000</v>
      </c>
      <c r="AH51" s="202">
        <f>AG51-(R51*S51)</f>
        <v>3130.3999999999996</v>
      </c>
      <c r="AI51" s="203">
        <f t="shared" si="56"/>
        <v>4058</v>
      </c>
      <c r="AJ51" s="203">
        <f t="shared" si="57"/>
        <v>0</v>
      </c>
      <c r="AK51" s="203">
        <f t="shared" si="58"/>
        <v>4869.6000000000004</v>
      </c>
      <c r="AL51" s="203">
        <f t="shared" si="48"/>
        <v>0</v>
      </c>
      <c r="AM51" s="203">
        <f t="shared" si="59"/>
        <v>811.60000000000036</v>
      </c>
      <c r="AN51" s="203">
        <f t="shared" si="59"/>
        <v>0</v>
      </c>
      <c r="AO51" s="205">
        <f t="shared" si="60"/>
        <v>0</v>
      </c>
      <c r="AP51" s="205">
        <f t="shared" si="61"/>
        <v>0</v>
      </c>
      <c r="AQ51" s="205">
        <f t="shared" si="62"/>
        <v>3130.3999999999996</v>
      </c>
      <c r="AR51" s="205">
        <f t="shared" si="63"/>
        <v>0</v>
      </c>
      <c r="AS51" s="205">
        <f t="shared" si="64"/>
        <v>0</v>
      </c>
      <c r="AT51" s="209">
        <f t="shared" si="13"/>
        <v>4869.6000000000004</v>
      </c>
      <c r="AU51" s="209">
        <f t="shared" si="13"/>
        <v>0</v>
      </c>
      <c r="AV51" s="203"/>
      <c r="AW51" s="251">
        <f t="shared" si="47"/>
        <v>4869.6000000000004</v>
      </c>
      <c r="AX51" s="251"/>
      <c r="AY51" s="661"/>
      <c r="AZ51" s="661"/>
      <c r="BA51" s="661"/>
    </row>
    <row r="52" spans="2:53" s="76" customFormat="1" ht="33">
      <c r="B52" s="703">
        <f t="shared" si="15"/>
        <v>30</v>
      </c>
      <c r="C52" s="197" t="s">
        <v>1248</v>
      </c>
      <c r="D52" s="198" t="s">
        <v>1249</v>
      </c>
      <c r="E52" s="703" t="s">
        <v>1251</v>
      </c>
      <c r="F52" s="703">
        <v>4</v>
      </c>
      <c r="G52" s="199">
        <v>4058</v>
      </c>
      <c r="H52" s="737">
        <v>0.2</v>
      </c>
      <c r="I52" s="703">
        <f t="shared" si="49"/>
        <v>811.6</v>
      </c>
      <c r="J52" s="736"/>
      <c r="K52" s="199"/>
      <c r="L52" s="199"/>
      <c r="M52" s="736"/>
      <c r="N52" s="199"/>
      <c r="O52" s="736"/>
      <c r="P52" s="199"/>
      <c r="Q52" s="199"/>
      <c r="R52" s="199">
        <f t="shared" si="50"/>
        <v>4869.6000000000004</v>
      </c>
      <c r="S52" s="199"/>
      <c r="T52" s="199">
        <v>0.5</v>
      </c>
      <c r="U52" s="206"/>
      <c r="V52" s="741"/>
      <c r="W52" s="206"/>
      <c r="X52" s="718"/>
      <c r="Y52" s="737"/>
      <c r="Z52" s="199"/>
      <c r="AA52" s="199">
        <f t="shared" si="51"/>
        <v>1565.1999999999998</v>
      </c>
      <c r="AB52" s="796">
        <f>(R52+Z52+U52+W52)*T52+AA52</f>
        <v>4000</v>
      </c>
      <c r="AC52" s="738">
        <f t="shared" si="52"/>
        <v>0</v>
      </c>
      <c r="AD52" s="738">
        <f t="shared" si="53"/>
        <v>4000</v>
      </c>
      <c r="AE52" s="202">
        <f t="shared" si="54"/>
        <v>4000</v>
      </c>
      <c r="AF52" s="202">
        <f t="shared" si="55"/>
        <v>0</v>
      </c>
      <c r="AG52" s="738">
        <f>8000*T52</f>
        <v>4000</v>
      </c>
      <c r="AH52" s="202">
        <f>AG52-(R52*T52)</f>
        <v>1565.1999999999998</v>
      </c>
      <c r="AI52" s="203">
        <f t="shared" si="56"/>
        <v>0</v>
      </c>
      <c r="AJ52" s="203">
        <f>G52*T52</f>
        <v>2029</v>
      </c>
      <c r="AK52" s="203">
        <f t="shared" si="58"/>
        <v>0</v>
      </c>
      <c r="AL52" s="203">
        <f t="shared" si="48"/>
        <v>2434.8000000000002</v>
      </c>
      <c r="AM52" s="203">
        <f t="shared" si="59"/>
        <v>0</v>
      </c>
      <c r="AN52" s="203">
        <f t="shared" si="59"/>
        <v>405.80000000000018</v>
      </c>
      <c r="AO52" s="205">
        <f t="shared" si="60"/>
        <v>0</v>
      </c>
      <c r="AP52" s="205">
        <f t="shared" si="61"/>
        <v>0</v>
      </c>
      <c r="AQ52" s="205">
        <f t="shared" si="62"/>
        <v>1565.1999999999998</v>
      </c>
      <c r="AR52" s="205">
        <f t="shared" si="63"/>
        <v>0</v>
      </c>
      <c r="AS52" s="205">
        <f t="shared" si="64"/>
        <v>0</v>
      </c>
      <c r="AT52" s="209">
        <f t="shared" si="13"/>
        <v>0</v>
      </c>
      <c r="AU52" s="209">
        <f t="shared" si="13"/>
        <v>2434.8000000000002</v>
      </c>
      <c r="AV52" s="203"/>
      <c r="AW52" s="251">
        <f>R52*T52</f>
        <v>2434.8000000000002</v>
      </c>
      <c r="AX52" s="251"/>
      <c r="AY52" s="661"/>
      <c r="AZ52" s="661"/>
      <c r="BA52" s="661"/>
    </row>
    <row r="53" spans="2:53" s="76" customFormat="1" ht="33">
      <c r="B53" s="703">
        <f t="shared" si="15"/>
        <v>31</v>
      </c>
      <c r="C53" s="197" t="s">
        <v>1248</v>
      </c>
      <c r="D53" s="198" t="s">
        <v>1252</v>
      </c>
      <c r="E53" s="703" t="s">
        <v>1253</v>
      </c>
      <c r="F53" s="703">
        <v>3</v>
      </c>
      <c r="G53" s="199">
        <v>3770</v>
      </c>
      <c r="H53" s="737">
        <v>0.2</v>
      </c>
      <c r="I53" s="703">
        <f t="shared" si="49"/>
        <v>754</v>
      </c>
      <c r="J53" s="736"/>
      <c r="K53" s="199"/>
      <c r="L53" s="199"/>
      <c r="M53" s="736"/>
      <c r="N53" s="199"/>
      <c r="O53" s="736"/>
      <c r="P53" s="199"/>
      <c r="Q53" s="199"/>
      <c r="R53" s="199">
        <f t="shared" si="50"/>
        <v>4524</v>
      </c>
      <c r="S53" s="199">
        <v>1</v>
      </c>
      <c r="T53" s="206"/>
      <c r="U53" s="206"/>
      <c r="V53" s="737"/>
      <c r="W53" s="204"/>
      <c r="X53" s="718"/>
      <c r="Y53" s="737"/>
      <c r="Z53" s="199"/>
      <c r="AA53" s="199">
        <f t="shared" si="51"/>
        <v>3476</v>
      </c>
      <c r="AB53" s="796">
        <f>(R53+AA53)*S53</f>
        <v>8000</v>
      </c>
      <c r="AC53" s="738">
        <f t="shared" si="52"/>
        <v>0</v>
      </c>
      <c r="AD53" s="738">
        <f>AB53+AC53</f>
        <v>8000</v>
      </c>
      <c r="AE53" s="202">
        <f t="shared" si="54"/>
        <v>8000</v>
      </c>
      <c r="AF53" s="202">
        <f t="shared" si="55"/>
        <v>0</v>
      </c>
      <c r="AG53" s="738">
        <f>8000*S53</f>
        <v>8000</v>
      </c>
      <c r="AH53" s="202">
        <f>AG53-(R53*S53)</f>
        <v>3476</v>
      </c>
      <c r="AI53" s="203">
        <f>G53*S53</f>
        <v>3770</v>
      </c>
      <c r="AJ53" s="203">
        <f>G53*T53</f>
        <v>0</v>
      </c>
      <c r="AK53" s="203">
        <f t="shared" si="58"/>
        <v>4524</v>
      </c>
      <c r="AL53" s="203">
        <f t="shared" si="48"/>
        <v>0</v>
      </c>
      <c r="AM53" s="203">
        <f t="shared" si="59"/>
        <v>754</v>
      </c>
      <c r="AN53" s="203">
        <f t="shared" si="59"/>
        <v>0</v>
      </c>
      <c r="AO53" s="205">
        <f t="shared" si="60"/>
        <v>0</v>
      </c>
      <c r="AP53" s="205">
        <f t="shared" si="61"/>
        <v>0</v>
      </c>
      <c r="AQ53" s="205">
        <f t="shared" si="62"/>
        <v>3476</v>
      </c>
      <c r="AR53" s="205">
        <f t="shared" si="63"/>
        <v>0</v>
      </c>
      <c r="AS53" s="205">
        <f t="shared" si="64"/>
        <v>0</v>
      </c>
      <c r="AT53" s="209">
        <f t="shared" si="13"/>
        <v>4524</v>
      </c>
      <c r="AU53" s="209">
        <f t="shared" si="13"/>
        <v>0</v>
      </c>
      <c r="AV53" s="203"/>
      <c r="AW53" s="251">
        <f>R53*S53</f>
        <v>4524</v>
      </c>
      <c r="AX53" s="251"/>
      <c r="AY53" s="661"/>
      <c r="AZ53" s="661"/>
      <c r="BA53" s="661"/>
    </row>
    <row r="54" spans="2:53" s="76" customFormat="1" ht="33">
      <c r="B54" s="703">
        <f t="shared" si="15"/>
        <v>32</v>
      </c>
      <c r="C54" s="197" t="s">
        <v>1248</v>
      </c>
      <c r="D54" s="198" t="s">
        <v>1252</v>
      </c>
      <c r="E54" s="703" t="s">
        <v>1253</v>
      </c>
      <c r="F54" s="703">
        <v>3</v>
      </c>
      <c r="G54" s="199">
        <v>3770</v>
      </c>
      <c r="H54" s="737">
        <v>0.2</v>
      </c>
      <c r="I54" s="703">
        <f t="shared" si="49"/>
        <v>754</v>
      </c>
      <c r="J54" s="736"/>
      <c r="K54" s="199"/>
      <c r="L54" s="199"/>
      <c r="M54" s="736"/>
      <c r="N54" s="199"/>
      <c r="O54" s="736"/>
      <c r="P54" s="199"/>
      <c r="Q54" s="199"/>
      <c r="R54" s="199">
        <f t="shared" si="50"/>
        <v>4524</v>
      </c>
      <c r="S54" s="199"/>
      <c r="T54" s="199">
        <v>0.5</v>
      </c>
      <c r="U54" s="206"/>
      <c r="V54" s="737"/>
      <c r="W54" s="204"/>
      <c r="X54" s="718"/>
      <c r="Y54" s="737"/>
      <c r="Z54" s="199"/>
      <c r="AA54" s="199">
        <f t="shared" si="51"/>
        <v>1738</v>
      </c>
      <c r="AB54" s="796">
        <f>(R54+Z54+U54+W54)*T54+AA54</f>
        <v>4000</v>
      </c>
      <c r="AC54" s="738">
        <f t="shared" si="52"/>
        <v>0</v>
      </c>
      <c r="AD54" s="738">
        <f t="shared" si="53"/>
        <v>4000</v>
      </c>
      <c r="AE54" s="202">
        <f t="shared" si="54"/>
        <v>4000</v>
      </c>
      <c r="AF54" s="202">
        <f t="shared" si="55"/>
        <v>0</v>
      </c>
      <c r="AG54" s="738">
        <f>8000*T54</f>
        <v>4000</v>
      </c>
      <c r="AH54" s="202">
        <f>AG54-(R54*T54)</f>
        <v>1738</v>
      </c>
      <c r="AI54" s="203">
        <f t="shared" si="56"/>
        <v>0</v>
      </c>
      <c r="AJ54" s="203">
        <f>G54*T54</f>
        <v>1885</v>
      </c>
      <c r="AK54" s="203">
        <f t="shared" si="58"/>
        <v>0</v>
      </c>
      <c r="AL54" s="203">
        <f t="shared" si="48"/>
        <v>2262</v>
      </c>
      <c r="AM54" s="203">
        <f t="shared" si="59"/>
        <v>0</v>
      </c>
      <c r="AN54" s="203">
        <f t="shared" si="59"/>
        <v>377</v>
      </c>
      <c r="AO54" s="205">
        <f t="shared" si="60"/>
        <v>0</v>
      </c>
      <c r="AP54" s="205">
        <f t="shared" si="61"/>
        <v>0</v>
      </c>
      <c r="AQ54" s="205">
        <f t="shared" si="62"/>
        <v>1738</v>
      </c>
      <c r="AR54" s="205">
        <f t="shared" si="63"/>
        <v>0</v>
      </c>
      <c r="AS54" s="205">
        <f t="shared" si="64"/>
        <v>0</v>
      </c>
      <c r="AT54" s="209">
        <f t="shared" si="13"/>
        <v>0</v>
      </c>
      <c r="AU54" s="209">
        <f t="shared" si="13"/>
        <v>2262</v>
      </c>
      <c r="AV54" s="203"/>
      <c r="AW54" s="251">
        <f>R54*T54</f>
        <v>2262</v>
      </c>
      <c r="AX54" s="251"/>
      <c r="AY54" s="661"/>
      <c r="AZ54" s="661"/>
      <c r="BA54" s="661"/>
    </row>
    <row r="55" spans="2:53" s="76" customFormat="1" ht="33">
      <c r="B55" s="703"/>
      <c r="C55" s="213" t="s">
        <v>1870</v>
      </c>
      <c r="D55" s="198"/>
      <c r="E55" s="703"/>
      <c r="F55" s="703"/>
      <c r="G55" s="199"/>
      <c r="H55" s="737"/>
      <c r="I55" s="703"/>
      <c r="J55" s="736"/>
      <c r="K55" s="199"/>
      <c r="L55" s="199"/>
      <c r="M55" s="736"/>
      <c r="N55" s="199"/>
      <c r="O55" s="736"/>
      <c r="P55" s="199"/>
      <c r="Q55" s="199"/>
      <c r="R55" s="199"/>
      <c r="S55" s="199"/>
      <c r="T55" s="199"/>
      <c r="U55" s="206"/>
      <c r="V55" s="737"/>
      <c r="W55" s="204"/>
      <c r="X55" s="718"/>
      <c r="Y55" s="737"/>
      <c r="Z55" s="199"/>
      <c r="AA55" s="199"/>
      <c r="AB55" s="796"/>
      <c r="AC55" s="738"/>
      <c r="AD55" s="738"/>
      <c r="AE55" s="202"/>
      <c r="AF55" s="202"/>
      <c r="AG55" s="738"/>
      <c r="AH55" s="202"/>
      <c r="AI55" s="203"/>
      <c r="AJ55" s="203"/>
      <c r="AK55" s="203"/>
      <c r="AL55" s="203">
        <f t="shared" si="48"/>
        <v>0</v>
      </c>
      <c r="AM55" s="203"/>
      <c r="AN55" s="203"/>
      <c r="AO55" s="205"/>
      <c r="AP55" s="205"/>
      <c r="AQ55" s="205"/>
      <c r="AR55" s="205"/>
      <c r="AS55" s="205"/>
      <c r="AT55" s="209"/>
      <c r="AU55" s="209"/>
      <c r="AV55" s="203"/>
      <c r="AW55" s="251"/>
      <c r="AX55" s="251"/>
      <c r="AY55" s="661"/>
      <c r="AZ55" s="661"/>
      <c r="BA55" s="661"/>
    </row>
    <row r="56" spans="2:53" s="76" customFormat="1" ht="33">
      <c r="B56" s="703">
        <f>B54+1</f>
        <v>33</v>
      </c>
      <c r="C56" s="197" t="s">
        <v>1255</v>
      </c>
      <c r="D56" s="198" t="s">
        <v>1256</v>
      </c>
      <c r="E56" s="703" t="s">
        <v>1257</v>
      </c>
      <c r="F56" s="703">
        <v>5</v>
      </c>
      <c r="G56" s="199">
        <v>4345</v>
      </c>
      <c r="H56" s="736"/>
      <c r="I56" s="199"/>
      <c r="J56" s="741"/>
      <c r="K56" s="206"/>
      <c r="L56" s="206"/>
      <c r="M56" s="741"/>
      <c r="N56" s="206"/>
      <c r="O56" s="741"/>
      <c r="P56" s="206"/>
      <c r="Q56" s="206"/>
      <c r="R56" s="199">
        <f t="shared" si="50"/>
        <v>4345</v>
      </c>
      <c r="S56" s="199">
        <v>1</v>
      </c>
      <c r="T56" s="206"/>
      <c r="U56" s="206"/>
      <c r="V56" s="737">
        <v>0</v>
      </c>
      <c r="W56" s="204">
        <f>R56*V56</f>
        <v>0</v>
      </c>
      <c r="X56" s="718"/>
      <c r="Y56" s="737"/>
      <c r="Z56" s="199"/>
      <c r="AA56" s="199">
        <f t="shared" ref="AA56:AA65" si="65">AH56</f>
        <v>3655</v>
      </c>
      <c r="AB56" s="796">
        <f t="shared" ref="AB56:AB63" si="66">(R56+AA56)*S56</f>
        <v>8000</v>
      </c>
      <c r="AC56" s="738">
        <f t="shared" si="52"/>
        <v>0</v>
      </c>
      <c r="AD56" s="738">
        <f t="shared" ref="AD56:AD64" si="67">AB56+AC56</f>
        <v>8000</v>
      </c>
      <c r="AE56" s="202">
        <f t="shared" ref="AE56:AE64" si="68">AB56</f>
        <v>8000</v>
      </c>
      <c r="AF56" s="202">
        <f>AE56-AB56</f>
        <v>0</v>
      </c>
      <c r="AG56" s="738">
        <f>8000*S56</f>
        <v>8000</v>
      </c>
      <c r="AH56" s="202">
        <f t="shared" ref="AH56:AH64" si="69">AG56-(R56*S56)</f>
        <v>3655</v>
      </c>
      <c r="AI56" s="203">
        <f t="shared" si="56"/>
        <v>4345</v>
      </c>
      <c r="AJ56" s="203">
        <f t="shared" si="57"/>
        <v>0</v>
      </c>
      <c r="AK56" s="203">
        <f t="shared" si="58"/>
        <v>4345</v>
      </c>
      <c r="AL56" s="203">
        <f t="shared" si="48"/>
        <v>0</v>
      </c>
      <c r="AM56" s="203">
        <f t="shared" si="59"/>
        <v>0</v>
      </c>
      <c r="AN56" s="203">
        <f t="shared" si="59"/>
        <v>0</v>
      </c>
      <c r="AO56" s="205">
        <f t="shared" si="60"/>
        <v>0</v>
      </c>
      <c r="AP56" s="205">
        <f t="shared" si="61"/>
        <v>0</v>
      </c>
      <c r="AQ56" s="205">
        <f t="shared" si="62"/>
        <v>3655</v>
      </c>
      <c r="AR56" s="205">
        <f t="shared" si="63"/>
        <v>0</v>
      </c>
      <c r="AS56" s="205">
        <f t="shared" si="64"/>
        <v>0</v>
      </c>
      <c r="AT56" s="209">
        <f t="shared" si="13"/>
        <v>4345</v>
      </c>
      <c r="AU56" s="209">
        <f t="shared" si="13"/>
        <v>0</v>
      </c>
      <c r="AV56" s="203"/>
      <c r="AW56" s="251">
        <f>R56*S56</f>
        <v>4345</v>
      </c>
      <c r="AX56" s="251"/>
      <c r="AY56" s="661"/>
      <c r="AZ56" s="661"/>
      <c r="BA56" s="661"/>
    </row>
    <row r="57" spans="2:53" s="76" customFormat="1" ht="33">
      <c r="B57" s="703">
        <f t="shared" si="15"/>
        <v>34</v>
      </c>
      <c r="C57" s="197" t="s">
        <v>1255</v>
      </c>
      <c r="D57" s="198" t="s">
        <v>1256</v>
      </c>
      <c r="E57" s="703" t="s">
        <v>1258</v>
      </c>
      <c r="F57" s="703">
        <v>5</v>
      </c>
      <c r="G57" s="199">
        <v>4345</v>
      </c>
      <c r="H57" s="736"/>
      <c r="I57" s="199"/>
      <c r="J57" s="736"/>
      <c r="K57" s="199"/>
      <c r="L57" s="199"/>
      <c r="M57" s="736"/>
      <c r="N57" s="199"/>
      <c r="O57" s="736"/>
      <c r="P57" s="199"/>
      <c r="Q57" s="199"/>
      <c r="R57" s="199">
        <f t="shared" si="50"/>
        <v>4345</v>
      </c>
      <c r="S57" s="199">
        <v>1</v>
      </c>
      <c r="T57" s="206"/>
      <c r="U57" s="206"/>
      <c r="V57" s="737">
        <v>0</v>
      </c>
      <c r="W57" s="204">
        <f>R57*V57</f>
        <v>0</v>
      </c>
      <c r="X57" s="718"/>
      <c r="Y57" s="737"/>
      <c r="Z57" s="199"/>
      <c r="AA57" s="199">
        <f t="shared" si="65"/>
        <v>3655</v>
      </c>
      <c r="AB57" s="796">
        <f t="shared" si="66"/>
        <v>8000</v>
      </c>
      <c r="AC57" s="738">
        <f t="shared" si="52"/>
        <v>0</v>
      </c>
      <c r="AD57" s="738">
        <f t="shared" si="67"/>
        <v>8000</v>
      </c>
      <c r="AE57" s="202">
        <f t="shared" si="68"/>
        <v>8000</v>
      </c>
      <c r="AF57" s="202">
        <f t="shared" si="55"/>
        <v>0</v>
      </c>
      <c r="AG57" s="738">
        <f>8000*S57</f>
        <v>8000</v>
      </c>
      <c r="AH57" s="202">
        <f t="shared" si="69"/>
        <v>3655</v>
      </c>
      <c r="AI57" s="203">
        <f t="shared" si="56"/>
        <v>4345</v>
      </c>
      <c r="AJ57" s="203">
        <f t="shared" si="57"/>
        <v>0</v>
      </c>
      <c r="AK57" s="203">
        <f t="shared" si="58"/>
        <v>4345</v>
      </c>
      <c r="AL57" s="203">
        <f t="shared" si="48"/>
        <v>0</v>
      </c>
      <c r="AM57" s="203">
        <f t="shared" si="59"/>
        <v>0</v>
      </c>
      <c r="AN57" s="203">
        <f t="shared" si="59"/>
        <v>0</v>
      </c>
      <c r="AO57" s="205">
        <f t="shared" si="60"/>
        <v>0</v>
      </c>
      <c r="AP57" s="205">
        <f t="shared" si="61"/>
        <v>0</v>
      </c>
      <c r="AQ57" s="205">
        <f t="shared" si="62"/>
        <v>3655</v>
      </c>
      <c r="AR57" s="205">
        <f t="shared" si="63"/>
        <v>0</v>
      </c>
      <c r="AS57" s="205">
        <f t="shared" si="64"/>
        <v>0</v>
      </c>
      <c r="AT57" s="209">
        <f t="shared" si="13"/>
        <v>4345</v>
      </c>
      <c r="AU57" s="209">
        <f t="shared" si="13"/>
        <v>0</v>
      </c>
      <c r="AV57" s="203"/>
      <c r="AW57" s="251">
        <f t="shared" ref="AW57:AW64" si="70">R57*S57</f>
        <v>4345</v>
      </c>
      <c r="AX57" s="251"/>
      <c r="AY57" s="661"/>
      <c r="AZ57" s="661"/>
      <c r="BA57" s="661"/>
    </row>
    <row r="58" spans="2:53" s="76" customFormat="1" ht="33">
      <c r="B58" s="703">
        <f t="shared" si="15"/>
        <v>35</v>
      </c>
      <c r="C58" s="197" t="s">
        <v>1259</v>
      </c>
      <c r="D58" s="198"/>
      <c r="E58" s="703" t="s">
        <v>1260</v>
      </c>
      <c r="F58" s="703">
        <v>2</v>
      </c>
      <c r="G58" s="199">
        <v>3483</v>
      </c>
      <c r="H58" s="736"/>
      <c r="I58" s="199"/>
      <c r="J58" s="736"/>
      <c r="K58" s="199"/>
      <c r="L58" s="199"/>
      <c r="M58" s="736"/>
      <c r="N58" s="199"/>
      <c r="O58" s="736"/>
      <c r="P58" s="199"/>
      <c r="Q58" s="199"/>
      <c r="R58" s="199">
        <f t="shared" si="50"/>
        <v>3483</v>
      </c>
      <c r="S58" s="199">
        <v>1</v>
      </c>
      <c r="T58" s="206"/>
      <c r="U58" s="206"/>
      <c r="V58" s="741"/>
      <c r="W58" s="206"/>
      <c r="X58" s="718"/>
      <c r="Y58" s="737"/>
      <c r="Z58" s="199"/>
      <c r="AA58" s="199">
        <f t="shared" si="65"/>
        <v>4517</v>
      </c>
      <c r="AB58" s="796">
        <f t="shared" si="66"/>
        <v>8000</v>
      </c>
      <c r="AC58" s="738">
        <f t="shared" si="52"/>
        <v>0</v>
      </c>
      <c r="AD58" s="738">
        <f t="shared" si="67"/>
        <v>8000</v>
      </c>
      <c r="AE58" s="202">
        <f t="shared" si="68"/>
        <v>8000</v>
      </c>
      <c r="AF58" s="202">
        <f t="shared" si="55"/>
        <v>0</v>
      </c>
      <c r="AG58" s="738">
        <f>8000*S58</f>
        <v>8000</v>
      </c>
      <c r="AH58" s="202">
        <f t="shared" si="69"/>
        <v>4517</v>
      </c>
      <c r="AI58" s="203">
        <f t="shared" si="56"/>
        <v>3483</v>
      </c>
      <c r="AJ58" s="203">
        <f t="shared" si="57"/>
        <v>0</v>
      </c>
      <c r="AK58" s="203">
        <f t="shared" si="58"/>
        <v>3483</v>
      </c>
      <c r="AL58" s="203">
        <f t="shared" si="48"/>
        <v>0</v>
      </c>
      <c r="AM58" s="203">
        <f t="shared" si="59"/>
        <v>0</v>
      </c>
      <c r="AN58" s="203">
        <f t="shared" si="59"/>
        <v>0</v>
      </c>
      <c r="AO58" s="205">
        <f t="shared" si="60"/>
        <v>0</v>
      </c>
      <c r="AP58" s="205">
        <f t="shared" si="61"/>
        <v>0</v>
      </c>
      <c r="AQ58" s="205">
        <f t="shared" si="62"/>
        <v>4517</v>
      </c>
      <c r="AR58" s="205">
        <f t="shared" si="63"/>
        <v>0</v>
      </c>
      <c r="AS58" s="205">
        <f t="shared" si="64"/>
        <v>0</v>
      </c>
      <c r="AT58" s="209">
        <f t="shared" si="13"/>
        <v>3483</v>
      </c>
      <c r="AU58" s="209">
        <f t="shared" si="13"/>
        <v>0</v>
      </c>
      <c r="AV58" s="203"/>
      <c r="AW58" s="251">
        <f t="shared" si="70"/>
        <v>3483</v>
      </c>
      <c r="AX58" s="251"/>
      <c r="AY58" s="661"/>
      <c r="AZ58" s="661"/>
      <c r="BA58" s="661"/>
    </row>
    <row r="59" spans="2:53" s="76" customFormat="1" ht="33">
      <c r="B59" s="703">
        <f t="shared" si="15"/>
        <v>36</v>
      </c>
      <c r="C59" s="197" t="s">
        <v>1259</v>
      </c>
      <c r="D59" s="198"/>
      <c r="E59" s="703" t="s">
        <v>1261</v>
      </c>
      <c r="F59" s="703">
        <v>2</v>
      </c>
      <c r="G59" s="199">
        <v>3483</v>
      </c>
      <c r="H59" s="736"/>
      <c r="I59" s="199"/>
      <c r="J59" s="736"/>
      <c r="K59" s="199"/>
      <c r="L59" s="199"/>
      <c r="M59" s="736"/>
      <c r="N59" s="199"/>
      <c r="O59" s="736"/>
      <c r="P59" s="199"/>
      <c r="Q59" s="199"/>
      <c r="R59" s="199">
        <f t="shared" si="50"/>
        <v>3483</v>
      </c>
      <c r="S59" s="199">
        <v>1</v>
      </c>
      <c r="T59" s="206"/>
      <c r="U59" s="206"/>
      <c r="V59" s="741"/>
      <c r="W59" s="206"/>
      <c r="X59" s="718"/>
      <c r="Y59" s="737"/>
      <c r="Z59" s="199"/>
      <c r="AA59" s="199">
        <f t="shared" si="65"/>
        <v>4517</v>
      </c>
      <c r="AB59" s="796">
        <f t="shared" si="66"/>
        <v>8000</v>
      </c>
      <c r="AC59" s="738">
        <f t="shared" si="52"/>
        <v>0</v>
      </c>
      <c r="AD59" s="738">
        <f t="shared" si="67"/>
        <v>8000</v>
      </c>
      <c r="AE59" s="202">
        <f t="shared" si="68"/>
        <v>8000</v>
      </c>
      <c r="AF59" s="202">
        <f t="shared" si="55"/>
        <v>0</v>
      </c>
      <c r="AG59" s="738">
        <f>8000*S59</f>
        <v>8000</v>
      </c>
      <c r="AH59" s="202">
        <f t="shared" si="69"/>
        <v>4517</v>
      </c>
      <c r="AI59" s="203">
        <f t="shared" si="56"/>
        <v>3483</v>
      </c>
      <c r="AJ59" s="203">
        <f t="shared" si="57"/>
        <v>0</v>
      </c>
      <c r="AK59" s="203">
        <f t="shared" si="58"/>
        <v>3483</v>
      </c>
      <c r="AL59" s="203">
        <f>R59*T59</f>
        <v>0</v>
      </c>
      <c r="AM59" s="203">
        <f t="shared" si="59"/>
        <v>0</v>
      </c>
      <c r="AN59" s="203">
        <f t="shared" si="59"/>
        <v>0</v>
      </c>
      <c r="AO59" s="205">
        <f t="shared" si="60"/>
        <v>0</v>
      </c>
      <c r="AP59" s="205">
        <f t="shared" si="61"/>
        <v>0</v>
      </c>
      <c r="AQ59" s="205">
        <f t="shared" si="62"/>
        <v>4517</v>
      </c>
      <c r="AR59" s="205">
        <f t="shared" si="63"/>
        <v>0</v>
      </c>
      <c r="AS59" s="205">
        <f t="shared" si="64"/>
        <v>0</v>
      </c>
      <c r="AT59" s="209">
        <f t="shared" si="13"/>
        <v>3483</v>
      </c>
      <c r="AU59" s="209">
        <f t="shared" si="13"/>
        <v>0</v>
      </c>
      <c r="AV59" s="203"/>
      <c r="AW59" s="251">
        <f t="shared" si="70"/>
        <v>3483</v>
      </c>
      <c r="AX59" s="251"/>
      <c r="AY59" s="661"/>
      <c r="AZ59" s="661"/>
      <c r="BA59" s="661"/>
    </row>
    <row r="60" spans="2:53" s="76" customFormat="1" ht="33">
      <c r="B60" s="703"/>
      <c r="C60" s="213" t="s">
        <v>1871</v>
      </c>
      <c r="D60" s="198"/>
      <c r="E60" s="703"/>
      <c r="F60" s="703"/>
      <c r="G60" s="199"/>
      <c r="H60" s="736"/>
      <c r="I60" s="199"/>
      <c r="J60" s="736"/>
      <c r="K60" s="199"/>
      <c r="L60" s="199"/>
      <c r="M60" s="736"/>
      <c r="N60" s="199"/>
      <c r="O60" s="736"/>
      <c r="P60" s="199"/>
      <c r="Q60" s="199"/>
      <c r="R60" s="199"/>
      <c r="S60" s="199"/>
      <c r="T60" s="206"/>
      <c r="U60" s="206"/>
      <c r="V60" s="741"/>
      <c r="W60" s="206"/>
      <c r="X60" s="718"/>
      <c r="Y60" s="737"/>
      <c r="Z60" s="199"/>
      <c r="AA60" s="199"/>
      <c r="AB60" s="796"/>
      <c r="AC60" s="738"/>
      <c r="AD60" s="738"/>
      <c r="AE60" s="202"/>
      <c r="AF60" s="202"/>
      <c r="AG60" s="738"/>
      <c r="AH60" s="202"/>
      <c r="AI60" s="203"/>
      <c r="AJ60" s="203"/>
      <c r="AK60" s="203"/>
      <c r="AL60" s="203">
        <f t="shared" si="48"/>
        <v>0</v>
      </c>
      <c r="AM60" s="203"/>
      <c r="AN60" s="203"/>
      <c r="AO60" s="205"/>
      <c r="AP60" s="205"/>
      <c r="AQ60" s="205"/>
      <c r="AR60" s="205"/>
      <c r="AS60" s="205"/>
      <c r="AT60" s="209"/>
      <c r="AU60" s="209"/>
      <c r="AV60" s="203"/>
      <c r="AW60" s="251"/>
      <c r="AX60" s="251"/>
      <c r="AY60" s="661"/>
      <c r="AZ60" s="661"/>
      <c r="BA60" s="661"/>
    </row>
    <row r="61" spans="2:53" s="76" customFormat="1" ht="33">
      <c r="B61" s="703">
        <f>B59+1</f>
        <v>37</v>
      </c>
      <c r="C61" s="211" t="s">
        <v>1236</v>
      </c>
      <c r="D61" s="198" t="s">
        <v>1237</v>
      </c>
      <c r="E61" s="206" t="s">
        <v>1238</v>
      </c>
      <c r="F61" s="703">
        <v>9</v>
      </c>
      <c r="G61" s="199">
        <v>5527</v>
      </c>
      <c r="H61" s="736"/>
      <c r="I61" s="199"/>
      <c r="J61" s="736"/>
      <c r="K61" s="199"/>
      <c r="L61" s="199"/>
      <c r="M61" s="736"/>
      <c r="N61" s="199"/>
      <c r="O61" s="736"/>
      <c r="P61" s="199"/>
      <c r="Q61" s="199"/>
      <c r="R61" s="199">
        <f t="shared" si="50"/>
        <v>5527</v>
      </c>
      <c r="S61" s="199">
        <v>1</v>
      </c>
      <c r="T61" s="206"/>
      <c r="U61" s="206"/>
      <c r="V61" s="741"/>
      <c r="W61" s="206"/>
      <c r="X61" s="718"/>
      <c r="Y61" s="737"/>
      <c r="Z61" s="199"/>
      <c r="AA61" s="199">
        <f t="shared" si="65"/>
        <v>2473</v>
      </c>
      <c r="AB61" s="796">
        <f t="shared" si="66"/>
        <v>8000</v>
      </c>
      <c r="AC61" s="738">
        <f t="shared" si="52"/>
        <v>0</v>
      </c>
      <c r="AD61" s="738">
        <f t="shared" si="67"/>
        <v>8000</v>
      </c>
      <c r="AE61" s="202">
        <f t="shared" si="68"/>
        <v>8000</v>
      </c>
      <c r="AF61" s="202">
        <f t="shared" si="55"/>
        <v>0</v>
      </c>
      <c r="AG61" s="738">
        <f>8000*S61</f>
        <v>8000</v>
      </c>
      <c r="AH61" s="202">
        <f t="shared" si="69"/>
        <v>2473</v>
      </c>
      <c r="AI61" s="203">
        <f t="shared" si="56"/>
        <v>5527</v>
      </c>
      <c r="AJ61" s="203">
        <f t="shared" si="57"/>
        <v>0</v>
      </c>
      <c r="AK61" s="203">
        <f t="shared" si="58"/>
        <v>5527</v>
      </c>
      <c r="AL61" s="203">
        <f t="shared" si="48"/>
        <v>0</v>
      </c>
      <c r="AM61" s="203">
        <f t="shared" si="59"/>
        <v>0</v>
      </c>
      <c r="AN61" s="203">
        <f t="shared" si="59"/>
        <v>0</v>
      </c>
      <c r="AO61" s="205">
        <f t="shared" si="60"/>
        <v>0</v>
      </c>
      <c r="AP61" s="205">
        <f t="shared" si="61"/>
        <v>0</v>
      </c>
      <c r="AQ61" s="205">
        <f t="shared" si="62"/>
        <v>2473</v>
      </c>
      <c r="AR61" s="205">
        <f t="shared" si="63"/>
        <v>0</v>
      </c>
      <c r="AS61" s="205">
        <f t="shared" si="64"/>
        <v>0</v>
      </c>
      <c r="AT61" s="209">
        <f t="shared" si="13"/>
        <v>5527</v>
      </c>
      <c r="AU61" s="209">
        <f t="shared" si="13"/>
        <v>0</v>
      </c>
      <c r="AV61" s="203"/>
      <c r="AW61" s="251">
        <f t="shared" si="70"/>
        <v>5527</v>
      </c>
      <c r="AX61" s="251">
        <f>13500*S61-AB61</f>
        <v>5500</v>
      </c>
      <c r="AY61" s="661"/>
      <c r="AZ61" s="661"/>
      <c r="BA61" s="661"/>
    </row>
    <row r="62" spans="2:53" s="76" customFormat="1" ht="63">
      <c r="B62" s="703">
        <f t="shared" si="15"/>
        <v>38</v>
      </c>
      <c r="C62" s="211" t="s">
        <v>1272</v>
      </c>
      <c r="D62" s="198"/>
      <c r="E62" s="206" t="s">
        <v>1273</v>
      </c>
      <c r="F62" s="206">
        <v>4</v>
      </c>
      <c r="G62" s="199">
        <v>4058</v>
      </c>
      <c r="H62" s="736"/>
      <c r="I62" s="199"/>
      <c r="J62" s="736"/>
      <c r="K62" s="199"/>
      <c r="L62" s="199"/>
      <c r="M62" s="736"/>
      <c r="N62" s="199"/>
      <c r="O62" s="736"/>
      <c r="P62" s="199"/>
      <c r="Q62" s="199"/>
      <c r="R62" s="199">
        <f t="shared" si="50"/>
        <v>4058</v>
      </c>
      <c r="S62" s="199">
        <v>1</v>
      </c>
      <c r="T62" s="206"/>
      <c r="U62" s="206"/>
      <c r="V62" s="741"/>
      <c r="W62" s="206"/>
      <c r="X62" s="718"/>
      <c r="Y62" s="737"/>
      <c r="Z62" s="199"/>
      <c r="AA62" s="199">
        <f t="shared" si="65"/>
        <v>3942</v>
      </c>
      <c r="AB62" s="796">
        <f t="shared" si="66"/>
        <v>8000</v>
      </c>
      <c r="AC62" s="738">
        <f t="shared" si="52"/>
        <v>0</v>
      </c>
      <c r="AD62" s="738">
        <f t="shared" si="67"/>
        <v>8000</v>
      </c>
      <c r="AE62" s="202">
        <f t="shared" si="68"/>
        <v>8000</v>
      </c>
      <c r="AF62" s="202">
        <f t="shared" si="55"/>
        <v>0</v>
      </c>
      <c r="AG62" s="738">
        <f>8000*S62</f>
        <v>8000</v>
      </c>
      <c r="AH62" s="202">
        <f t="shared" si="69"/>
        <v>3942</v>
      </c>
      <c r="AI62" s="203">
        <f t="shared" si="56"/>
        <v>4058</v>
      </c>
      <c r="AJ62" s="203">
        <f t="shared" si="57"/>
        <v>0</v>
      </c>
      <c r="AK62" s="203">
        <f t="shared" si="58"/>
        <v>4058</v>
      </c>
      <c r="AL62" s="203">
        <f t="shared" si="48"/>
        <v>0</v>
      </c>
      <c r="AM62" s="203">
        <f t="shared" si="59"/>
        <v>0</v>
      </c>
      <c r="AN62" s="203">
        <f t="shared" si="59"/>
        <v>0</v>
      </c>
      <c r="AO62" s="205">
        <f t="shared" si="60"/>
        <v>0</v>
      </c>
      <c r="AP62" s="205">
        <f t="shared" si="61"/>
        <v>0</v>
      </c>
      <c r="AQ62" s="205">
        <f t="shared" si="62"/>
        <v>3942</v>
      </c>
      <c r="AR62" s="205">
        <f>W62*S62</f>
        <v>0</v>
      </c>
      <c r="AS62" s="205">
        <f>W62*T62</f>
        <v>0</v>
      </c>
      <c r="AT62" s="209">
        <f t="shared" si="13"/>
        <v>4058</v>
      </c>
      <c r="AU62" s="209">
        <f t="shared" si="13"/>
        <v>0</v>
      </c>
      <c r="AV62" s="203"/>
      <c r="AW62" s="251">
        <f t="shared" si="70"/>
        <v>4058</v>
      </c>
      <c r="AX62" s="251"/>
      <c r="AY62" s="661"/>
      <c r="AZ62" s="661"/>
      <c r="BA62" s="661"/>
    </row>
    <row r="63" spans="2:53" s="78" customFormat="1" ht="33">
      <c r="B63" s="703">
        <f t="shared" si="15"/>
        <v>39</v>
      </c>
      <c r="C63" s="211" t="s">
        <v>1262</v>
      </c>
      <c r="D63" s="212"/>
      <c r="E63" s="206" t="s">
        <v>1263</v>
      </c>
      <c r="F63" s="206">
        <v>1</v>
      </c>
      <c r="G63" s="199">
        <v>3195</v>
      </c>
      <c r="H63" s="736"/>
      <c r="I63" s="199"/>
      <c r="J63" s="736"/>
      <c r="K63" s="199"/>
      <c r="L63" s="199"/>
      <c r="M63" s="736"/>
      <c r="N63" s="199"/>
      <c r="O63" s="736"/>
      <c r="P63" s="199"/>
      <c r="Q63" s="199"/>
      <c r="R63" s="199">
        <f t="shared" si="50"/>
        <v>3195</v>
      </c>
      <c r="S63" s="199">
        <f>0.5+0.5</f>
        <v>1</v>
      </c>
      <c r="T63" s="206"/>
      <c r="U63" s="206"/>
      <c r="V63" s="741"/>
      <c r="W63" s="206"/>
      <c r="X63" s="718"/>
      <c r="Y63" s="737"/>
      <c r="Z63" s="199"/>
      <c r="AA63" s="199">
        <f t="shared" si="65"/>
        <v>4805</v>
      </c>
      <c r="AB63" s="796">
        <f t="shared" si="66"/>
        <v>8000</v>
      </c>
      <c r="AC63" s="738">
        <f t="shared" si="52"/>
        <v>0</v>
      </c>
      <c r="AD63" s="738">
        <f t="shared" si="67"/>
        <v>8000</v>
      </c>
      <c r="AE63" s="202">
        <f t="shared" si="68"/>
        <v>8000</v>
      </c>
      <c r="AF63" s="202">
        <f t="shared" si="55"/>
        <v>0</v>
      </c>
      <c r="AG63" s="738">
        <f>8000*S63</f>
        <v>8000</v>
      </c>
      <c r="AH63" s="202">
        <f t="shared" si="69"/>
        <v>4805</v>
      </c>
      <c r="AI63" s="203">
        <f t="shared" si="56"/>
        <v>3195</v>
      </c>
      <c r="AJ63" s="203">
        <f t="shared" si="57"/>
        <v>0</v>
      </c>
      <c r="AK63" s="203">
        <f t="shared" si="58"/>
        <v>3195</v>
      </c>
      <c r="AL63" s="203">
        <f t="shared" si="48"/>
        <v>0</v>
      </c>
      <c r="AM63" s="203">
        <f t="shared" si="59"/>
        <v>0</v>
      </c>
      <c r="AN63" s="203">
        <f t="shared" si="59"/>
        <v>0</v>
      </c>
      <c r="AO63" s="205">
        <f t="shared" si="60"/>
        <v>0</v>
      </c>
      <c r="AP63" s="205">
        <f t="shared" si="61"/>
        <v>0</v>
      </c>
      <c r="AQ63" s="205">
        <f t="shared" si="62"/>
        <v>4805</v>
      </c>
      <c r="AR63" s="205">
        <f t="shared" si="63"/>
        <v>0</v>
      </c>
      <c r="AS63" s="205">
        <f t="shared" si="64"/>
        <v>0</v>
      </c>
      <c r="AT63" s="209">
        <f t="shared" si="13"/>
        <v>3195</v>
      </c>
      <c r="AU63" s="209">
        <f t="shared" si="13"/>
        <v>0</v>
      </c>
      <c r="AV63" s="203"/>
      <c r="AW63" s="251">
        <f t="shared" si="70"/>
        <v>3195</v>
      </c>
      <c r="AX63" s="251"/>
      <c r="AY63" s="661"/>
      <c r="AZ63" s="661"/>
      <c r="BA63" s="661"/>
    </row>
    <row r="64" spans="2:53" s="79" customFormat="1" ht="33">
      <c r="B64" s="703">
        <f t="shared" si="15"/>
        <v>40</v>
      </c>
      <c r="C64" s="211" t="s">
        <v>1264</v>
      </c>
      <c r="D64" s="198" t="s">
        <v>1265</v>
      </c>
      <c r="E64" s="206" t="s">
        <v>1266</v>
      </c>
      <c r="F64" s="703">
        <v>5</v>
      </c>
      <c r="G64" s="199">
        <v>4345</v>
      </c>
      <c r="H64" s="736"/>
      <c r="I64" s="199"/>
      <c r="J64" s="736"/>
      <c r="K64" s="199"/>
      <c r="L64" s="199"/>
      <c r="M64" s="736"/>
      <c r="N64" s="199"/>
      <c r="O64" s="736"/>
      <c r="P64" s="199"/>
      <c r="Q64" s="199"/>
      <c r="R64" s="199">
        <f t="shared" si="50"/>
        <v>4345</v>
      </c>
      <c r="S64" s="199">
        <v>0.5</v>
      </c>
      <c r="T64" s="206"/>
      <c r="U64" s="206"/>
      <c r="V64" s="741"/>
      <c r="W64" s="206"/>
      <c r="X64" s="718"/>
      <c r="Y64" s="737"/>
      <c r="Z64" s="199"/>
      <c r="AA64" s="199">
        <f t="shared" si="65"/>
        <v>1827.5</v>
      </c>
      <c r="AB64" s="796">
        <f>(R64+Z64+U64+W64)*S64+AA64</f>
        <v>4000</v>
      </c>
      <c r="AC64" s="738">
        <f t="shared" si="52"/>
        <v>0</v>
      </c>
      <c r="AD64" s="738">
        <f t="shared" si="67"/>
        <v>4000</v>
      </c>
      <c r="AE64" s="202">
        <f t="shared" si="68"/>
        <v>4000</v>
      </c>
      <c r="AF64" s="202">
        <f t="shared" si="55"/>
        <v>0</v>
      </c>
      <c r="AG64" s="738">
        <f>8000*S64</f>
        <v>4000</v>
      </c>
      <c r="AH64" s="202">
        <f t="shared" si="69"/>
        <v>1827.5</v>
      </c>
      <c r="AI64" s="203">
        <f>G64*S64</f>
        <v>2172.5</v>
      </c>
      <c r="AJ64" s="203">
        <f t="shared" si="57"/>
        <v>0</v>
      </c>
      <c r="AK64" s="203">
        <f t="shared" si="58"/>
        <v>2172.5</v>
      </c>
      <c r="AL64" s="203">
        <f t="shared" si="48"/>
        <v>0</v>
      </c>
      <c r="AM64" s="203">
        <f t="shared" si="59"/>
        <v>0</v>
      </c>
      <c r="AN64" s="203">
        <f t="shared" si="59"/>
        <v>0</v>
      </c>
      <c r="AO64" s="205">
        <f t="shared" si="60"/>
        <v>0</v>
      </c>
      <c r="AP64" s="205">
        <f t="shared" si="61"/>
        <v>0</v>
      </c>
      <c r="AQ64" s="205">
        <f t="shared" si="62"/>
        <v>1827.5</v>
      </c>
      <c r="AR64" s="205">
        <f t="shared" si="63"/>
        <v>0</v>
      </c>
      <c r="AS64" s="205">
        <f t="shared" si="64"/>
        <v>0</v>
      </c>
      <c r="AT64" s="209">
        <f t="shared" si="13"/>
        <v>2172.5</v>
      </c>
      <c r="AU64" s="209">
        <f t="shared" si="13"/>
        <v>0</v>
      </c>
      <c r="AV64" s="203"/>
      <c r="AW64" s="251">
        <f t="shared" si="70"/>
        <v>2172.5</v>
      </c>
      <c r="AX64" s="251"/>
      <c r="AY64" s="661"/>
      <c r="AZ64" s="661"/>
      <c r="BA64" s="661"/>
    </row>
    <row r="65" spans="2:53" s="76" customFormat="1" ht="63">
      <c r="B65" s="703">
        <f t="shared" si="15"/>
        <v>41</v>
      </c>
      <c r="C65" s="197" t="s">
        <v>270</v>
      </c>
      <c r="D65" s="198" t="s">
        <v>271</v>
      </c>
      <c r="E65" s="703" t="s">
        <v>1254</v>
      </c>
      <c r="F65" s="703">
        <v>5</v>
      </c>
      <c r="G65" s="199">
        <v>4345</v>
      </c>
      <c r="H65" s="736"/>
      <c r="I65" s="199"/>
      <c r="J65" s="736"/>
      <c r="K65" s="199"/>
      <c r="L65" s="199"/>
      <c r="M65" s="736"/>
      <c r="N65" s="199"/>
      <c r="O65" s="736"/>
      <c r="P65" s="199"/>
      <c r="Q65" s="199"/>
      <c r="R65" s="199">
        <f t="shared" si="50"/>
        <v>4345</v>
      </c>
      <c r="S65" s="199"/>
      <c r="T65" s="206">
        <v>0.5</v>
      </c>
      <c r="U65" s="206"/>
      <c r="V65" s="741"/>
      <c r="W65" s="206"/>
      <c r="X65" s="718"/>
      <c r="Y65" s="737"/>
      <c r="Z65" s="199"/>
      <c r="AA65" s="199">
        <f t="shared" si="65"/>
        <v>1827.5</v>
      </c>
      <c r="AB65" s="796">
        <f>(R65+Z65+U65+W65)*T65+AA65</f>
        <v>4000</v>
      </c>
      <c r="AC65" s="738">
        <f t="shared" si="52"/>
        <v>0</v>
      </c>
      <c r="AD65" s="738">
        <f>AB65+AC65</f>
        <v>4000</v>
      </c>
      <c r="AE65" s="202">
        <f>AB65</f>
        <v>4000</v>
      </c>
      <c r="AF65" s="202">
        <f>AE65-AB65</f>
        <v>0</v>
      </c>
      <c r="AG65" s="738">
        <f>8000*T65</f>
        <v>4000</v>
      </c>
      <c r="AH65" s="202">
        <f>AG65-(R65*T65)</f>
        <v>1827.5</v>
      </c>
      <c r="AI65" s="203">
        <f>G65*T65</f>
        <v>2172.5</v>
      </c>
      <c r="AJ65" s="203">
        <f>G65*T65</f>
        <v>2172.5</v>
      </c>
      <c r="AK65" s="203">
        <f>R65*T65</f>
        <v>2172.5</v>
      </c>
      <c r="AL65" s="203">
        <f t="shared" si="48"/>
        <v>2172.5</v>
      </c>
      <c r="AM65" s="203">
        <f t="shared" si="59"/>
        <v>0</v>
      </c>
      <c r="AN65" s="203">
        <f t="shared" si="59"/>
        <v>0</v>
      </c>
      <c r="AO65" s="205">
        <f t="shared" si="60"/>
        <v>0</v>
      </c>
      <c r="AP65" s="205">
        <f t="shared" si="61"/>
        <v>0</v>
      </c>
      <c r="AQ65" s="205">
        <f t="shared" si="62"/>
        <v>1827.5</v>
      </c>
      <c r="AR65" s="205">
        <f t="shared" si="63"/>
        <v>0</v>
      </c>
      <c r="AS65" s="205">
        <f t="shared" si="64"/>
        <v>0</v>
      </c>
      <c r="AT65" s="209">
        <f t="shared" si="13"/>
        <v>2172.5</v>
      </c>
      <c r="AU65" s="209">
        <f t="shared" si="13"/>
        <v>2172.5</v>
      </c>
      <c r="AV65" s="203"/>
      <c r="AW65" s="251">
        <f>R65*T65</f>
        <v>2172.5</v>
      </c>
      <c r="AX65" s="251"/>
      <c r="AY65" s="661"/>
      <c r="AZ65" s="661"/>
      <c r="BA65" s="661"/>
    </row>
    <row r="66" spans="2:53" s="76" customFormat="1" ht="63">
      <c r="B66" s="703">
        <f t="shared" si="15"/>
        <v>42</v>
      </c>
      <c r="C66" s="197" t="s">
        <v>270</v>
      </c>
      <c r="D66" s="198" t="s">
        <v>267</v>
      </c>
      <c r="E66" s="703" t="s">
        <v>266</v>
      </c>
      <c r="F66" s="703">
        <v>5</v>
      </c>
      <c r="G66" s="199">
        <v>4058</v>
      </c>
      <c r="H66" s="736"/>
      <c r="I66" s="199"/>
      <c r="J66" s="736"/>
      <c r="K66" s="199"/>
      <c r="L66" s="199"/>
      <c r="M66" s="736"/>
      <c r="N66" s="199"/>
      <c r="O66" s="736"/>
      <c r="P66" s="199"/>
      <c r="Q66" s="199"/>
      <c r="R66" s="199">
        <f>G66+I66+K66+L66+N66+P66+Q66</f>
        <v>4058</v>
      </c>
      <c r="S66" s="199">
        <v>1</v>
      </c>
      <c r="T66" s="206"/>
      <c r="U66" s="206"/>
      <c r="V66" s="741"/>
      <c r="W66" s="206"/>
      <c r="X66" s="718"/>
      <c r="Y66" s="737"/>
      <c r="Z66" s="199"/>
      <c r="AA66" s="199">
        <f>AH66</f>
        <v>3942</v>
      </c>
      <c r="AB66" s="796">
        <f>(R66+Z66+U66+W66)*S66+AA66</f>
        <v>8000</v>
      </c>
      <c r="AC66" s="738">
        <f>AF66</f>
        <v>0</v>
      </c>
      <c r="AD66" s="738">
        <f t="shared" si="53"/>
        <v>8000</v>
      </c>
      <c r="AE66" s="202">
        <f t="shared" si="54"/>
        <v>8000</v>
      </c>
      <c r="AF66" s="202">
        <f>AE66-AB66</f>
        <v>0</v>
      </c>
      <c r="AG66" s="738">
        <f>8000*S66</f>
        <v>8000</v>
      </c>
      <c r="AH66" s="202">
        <f>AG66-(R66*S66)</f>
        <v>3942</v>
      </c>
      <c r="AI66" s="203">
        <f>G66*S66</f>
        <v>4058</v>
      </c>
      <c r="AJ66" s="203">
        <f>G66*T66</f>
        <v>0</v>
      </c>
      <c r="AK66" s="203">
        <f>R66*S66</f>
        <v>4058</v>
      </c>
      <c r="AL66" s="203">
        <f t="shared" si="48"/>
        <v>0</v>
      </c>
      <c r="AM66" s="203">
        <f>AK66-AI66</f>
        <v>0</v>
      </c>
      <c r="AN66" s="203">
        <f>AL66-AJ66</f>
        <v>0</v>
      </c>
      <c r="AO66" s="205">
        <f>Z66*S66</f>
        <v>0</v>
      </c>
      <c r="AP66" s="205">
        <f>Z66*S66</f>
        <v>0</v>
      </c>
      <c r="AQ66" s="205">
        <f>AA66</f>
        <v>3942</v>
      </c>
      <c r="AR66" s="205">
        <f>W66*S66</f>
        <v>0</v>
      </c>
      <c r="AS66" s="205">
        <f>W66*T66</f>
        <v>0</v>
      </c>
      <c r="AT66" s="209">
        <f t="shared" si="13"/>
        <v>4058</v>
      </c>
      <c r="AU66" s="209">
        <f t="shared" si="13"/>
        <v>0</v>
      </c>
      <c r="AV66" s="203"/>
      <c r="AW66" s="251">
        <f>R66*S66</f>
        <v>4058</v>
      </c>
      <c r="AX66" s="251"/>
      <c r="AY66" s="661"/>
      <c r="AZ66" s="661"/>
      <c r="BA66" s="661"/>
    </row>
    <row r="67" spans="2:53" s="76" customFormat="1" ht="63">
      <c r="B67" s="703">
        <f t="shared" si="15"/>
        <v>43</v>
      </c>
      <c r="C67" s="197" t="s">
        <v>1267</v>
      </c>
      <c r="D67" s="198"/>
      <c r="E67" s="703" t="s">
        <v>1822</v>
      </c>
      <c r="F67" s="703">
        <v>3</v>
      </c>
      <c r="G67" s="199">
        <v>3770</v>
      </c>
      <c r="H67" s="736"/>
      <c r="I67" s="199"/>
      <c r="J67" s="736"/>
      <c r="K67" s="199"/>
      <c r="L67" s="199"/>
      <c r="M67" s="736"/>
      <c r="N67" s="199"/>
      <c r="O67" s="736"/>
      <c r="P67" s="199"/>
      <c r="Q67" s="199"/>
      <c r="R67" s="199">
        <f t="shared" ref="R67:R73" si="71">G67+I67+K67+L67+N67+P67+Q67</f>
        <v>3770</v>
      </c>
      <c r="S67" s="199">
        <v>1</v>
      </c>
      <c r="T67" s="206"/>
      <c r="U67" s="206"/>
      <c r="V67" s="741"/>
      <c r="W67" s="206"/>
      <c r="X67" s="718"/>
      <c r="Y67" s="737"/>
      <c r="Z67" s="199"/>
      <c r="AA67" s="199">
        <f>AH67</f>
        <v>4230</v>
      </c>
      <c r="AB67" s="796">
        <f>(R67+AA67)*S67</f>
        <v>8000</v>
      </c>
      <c r="AC67" s="738">
        <f t="shared" ref="AC67:AC73" si="72">AF67</f>
        <v>0</v>
      </c>
      <c r="AD67" s="738">
        <f t="shared" si="53"/>
        <v>8000</v>
      </c>
      <c r="AE67" s="202">
        <f t="shared" si="54"/>
        <v>8000</v>
      </c>
      <c r="AF67" s="202">
        <f t="shared" ref="AF67:AF73" si="73">AE67-AB67</f>
        <v>0</v>
      </c>
      <c r="AG67" s="738">
        <f>8000*S67</f>
        <v>8000</v>
      </c>
      <c r="AH67" s="202">
        <f t="shared" ref="AH67:AH73" si="74">AG67-(R67*S67)</f>
        <v>4230</v>
      </c>
      <c r="AI67" s="203">
        <f t="shared" ref="AI67:AI73" si="75">G67*S67</f>
        <v>3770</v>
      </c>
      <c r="AJ67" s="203">
        <f>G67*T67</f>
        <v>0</v>
      </c>
      <c r="AK67" s="203">
        <f t="shared" ref="AK67:AK73" si="76">R67*S67</f>
        <v>3770</v>
      </c>
      <c r="AL67" s="203">
        <f t="shared" si="48"/>
        <v>0</v>
      </c>
      <c r="AM67" s="203">
        <f t="shared" ref="AM67:AN73" si="77">AK67-AI67</f>
        <v>0</v>
      </c>
      <c r="AN67" s="203">
        <f>AL67-AJ67</f>
        <v>0</v>
      </c>
      <c r="AO67" s="205">
        <f t="shared" ref="AO67:AO73" si="78">Z67*S67</f>
        <v>0</v>
      </c>
      <c r="AP67" s="205">
        <f t="shared" ref="AP67:AP73" si="79">Z67*T67</f>
        <v>0</v>
      </c>
      <c r="AQ67" s="205">
        <f t="shared" ref="AQ67:AQ73" si="80">AA67</f>
        <v>4230</v>
      </c>
      <c r="AR67" s="205">
        <f>W67*S67</f>
        <v>0</v>
      </c>
      <c r="AS67" s="205">
        <f>W67*T67</f>
        <v>0</v>
      </c>
      <c r="AT67" s="209">
        <f t="shared" si="13"/>
        <v>3770</v>
      </c>
      <c r="AU67" s="209">
        <f>AL67</f>
        <v>0</v>
      </c>
      <c r="AV67" s="203"/>
      <c r="AW67" s="251">
        <f>R67*S67</f>
        <v>3770</v>
      </c>
      <c r="AX67" s="251"/>
      <c r="AY67" s="661"/>
      <c r="AZ67" s="661"/>
      <c r="BA67" s="661"/>
    </row>
    <row r="68" spans="2:53" s="76" customFormat="1" ht="33">
      <c r="B68" s="703"/>
      <c r="C68" s="213" t="s">
        <v>1872</v>
      </c>
      <c r="D68" s="198"/>
      <c r="E68" s="703"/>
      <c r="F68" s="703"/>
      <c r="G68" s="199"/>
      <c r="H68" s="736"/>
      <c r="I68" s="199"/>
      <c r="J68" s="736"/>
      <c r="K68" s="199"/>
      <c r="L68" s="199"/>
      <c r="M68" s="736"/>
      <c r="N68" s="199"/>
      <c r="O68" s="736"/>
      <c r="P68" s="199"/>
      <c r="Q68" s="199"/>
      <c r="R68" s="199"/>
      <c r="S68" s="199"/>
      <c r="T68" s="206"/>
      <c r="U68" s="206"/>
      <c r="V68" s="741"/>
      <c r="W68" s="206"/>
      <c r="X68" s="718"/>
      <c r="Y68" s="737"/>
      <c r="Z68" s="199"/>
      <c r="AA68" s="199"/>
      <c r="AB68" s="796"/>
      <c r="AC68" s="738"/>
      <c r="AD68" s="738"/>
      <c r="AE68" s="202"/>
      <c r="AF68" s="202"/>
      <c r="AG68" s="738"/>
      <c r="AH68" s="202"/>
      <c r="AI68" s="203"/>
      <c r="AJ68" s="203"/>
      <c r="AK68" s="203"/>
      <c r="AL68" s="203">
        <f t="shared" si="48"/>
        <v>0</v>
      </c>
      <c r="AM68" s="203"/>
      <c r="AN68" s="203"/>
      <c r="AO68" s="205"/>
      <c r="AP68" s="205"/>
      <c r="AQ68" s="205"/>
      <c r="AR68" s="205"/>
      <c r="AS68" s="205"/>
      <c r="AT68" s="209"/>
      <c r="AU68" s="209"/>
      <c r="AV68" s="203"/>
      <c r="AW68" s="251"/>
      <c r="AX68" s="251"/>
      <c r="AY68" s="661"/>
      <c r="AZ68" s="661"/>
      <c r="BA68" s="661"/>
    </row>
    <row r="69" spans="2:53" s="76" customFormat="1" ht="33">
      <c r="B69" s="703">
        <f>B67+1</f>
        <v>44</v>
      </c>
      <c r="C69" s="211" t="s">
        <v>1268</v>
      </c>
      <c r="D69" s="198"/>
      <c r="E69" s="206" t="s">
        <v>1379</v>
      </c>
      <c r="F69" s="206">
        <v>1</v>
      </c>
      <c r="G69" s="199">
        <v>3195</v>
      </c>
      <c r="H69" s="736"/>
      <c r="I69" s="199"/>
      <c r="J69" s="736"/>
      <c r="K69" s="199"/>
      <c r="L69" s="199"/>
      <c r="M69" s="736"/>
      <c r="N69" s="199"/>
      <c r="O69" s="736"/>
      <c r="P69" s="199"/>
      <c r="Q69" s="199"/>
      <c r="R69" s="199">
        <f t="shared" si="71"/>
        <v>3195</v>
      </c>
      <c r="S69" s="199">
        <v>1</v>
      </c>
      <c r="T69" s="206"/>
      <c r="U69" s="206"/>
      <c r="V69" s="737">
        <v>0.1</v>
      </c>
      <c r="W69" s="199">
        <f>R69*V69</f>
        <v>319.5</v>
      </c>
      <c r="X69" s="718"/>
      <c r="Y69" s="737"/>
      <c r="Z69" s="199"/>
      <c r="AA69" s="199">
        <f t="shared" ref="AA69:AA74" si="81">AH69</f>
        <v>4805</v>
      </c>
      <c r="AB69" s="796">
        <f>(R69+AA69)*S69+W69</f>
        <v>8319.5</v>
      </c>
      <c r="AC69" s="738">
        <f t="shared" si="72"/>
        <v>0</v>
      </c>
      <c r="AD69" s="738">
        <f t="shared" si="53"/>
        <v>8319.5</v>
      </c>
      <c r="AE69" s="202">
        <f t="shared" si="54"/>
        <v>8319.5</v>
      </c>
      <c r="AF69" s="202">
        <f t="shared" si="73"/>
        <v>0</v>
      </c>
      <c r="AG69" s="738">
        <f t="shared" ref="AG69:AG74" si="82">8000*S69</f>
        <v>8000</v>
      </c>
      <c r="AH69" s="202">
        <f>AG69-(R69*S69)</f>
        <v>4805</v>
      </c>
      <c r="AI69" s="203">
        <f t="shared" si="75"/>
        <v>3195</v>
      </c>
      <c r="AJ69" s="203">
        <f t="shared" ref="AJ69:AJ74" si="83">G69*T69</f>
        <v>0</v>
      </c>
      <c r="AK69" s="203">
        <f t="shared" si="76"/>
        <v>3195</v>
      </c>
      <c r="AL69" s="203">
        <f>R69*T69</f>
        <v>0</v>
      </c>
      <c r="AM69" s="203">
        <f t="shared" si="77"/>
        <v>0</v>
      </c>
      <c r="AN69" s="203">
        <f t="shared" si="77"/>
        <v>0</v>
      </c>
      <c r="AO69" s="205">
        <f t="shared" si="78"/>
        <v>0</v>
      </c>
      <c r="AP69" s="205">
        <f t="shared" si="79"/>
        <v>0</v>
      </c>
      <c r="AQ69" s="205">
        <f t="shared" si="80"/>
        <v>4805</v>
      </c>
      <c r="AR69" s="205">
        <f t="shared" ref="AR69:AR74" si="84">W69*S69</f>
        <v>319.5</v>
      </c>
      <c r="AS69" s="205">
        <f t="shared" ref="AS69:AS74" si="85">W69*T69</f>
        <v>0</v>
      </c>
      <c r="AT69" s="209">
        <f t="shared" si="13"/>
        <v>3195</v>
      </c>
      <c r="AU69" s="209">
        <f t="shared" si="13"/>
        <v>0</v>
      </c>
      <c r="AV69" s="203"/>
      <c r="AW69" s="251">
        <f>R69*S69</f>
        <v>3195</v>
      </c>
      <c r="AX69" s="251"/>
      <c r="AY69" s="661"/>
      <c r="AZ69" s="661"/>
      <c r="BA69" s="661"/>
    </row>
    <row r="70" spans="2:53" s="76" customFormat="1" ht="33">
      <c r="B70" s="703">
        <f t="shared" si="15"/>
        <v>45</v>
      </c>
      <c r="C70" s="211" t="s">
        <v>1268</v>
      </c>
      <c r="D70" s="198"/>
      <c r="E70" s="206" t="s">
        <v>1269</v>
      </c>
      <c r="F70" s="206">
        <v>1</v>
      </c>
      <c r="G70" s="199">
        <v>3195</v>
      </c>
      <c r="H70" s="736"/>
      <c r="I70" s="199"/>
      <c r="J70" s="736"/>
      <c r="K70" s="199"/>
      <c r="L70" s="199"/>
      <c r="M70" s="736"/>
      <c r="N70" s="199"/>
      <c r="O70" s="736"/>
      <c r="P70" s="199"/>
      <c r="Q70" s="199"/>
      <c r="R70" s="199">
        <f t="shared" si="71"/>
        <v>3195</v>
      </c>
      <c r="S70" s="199">
        <v>1</v>
      </c>
      <c r="T70" s="206"/>
      <c r="U70" s="206"/>
      <c r="V70" s="737">
        <v>0.1</v>
      </c>
      <c r="W70" s="199">
        <f>R70*V70</f>
        <v>319.5</v>
      </c>
      <c r="X70" s="718"/>
      <c r="Y70" s="737"/>
      <c r="Z70" s="199"/>
      <c r="AA70" s="199">
        <f t="shared" si="81"/>
        <v>4805</v>
      </c>
      <c r="AB70" s="796">
        <f>(R70+AA70)*S70+W70</f>
        <v>8319.5</v>
      </c>
      <c r="AC70" s="738">
        <f t="shared" si="72"/>
        <v>0</v>
      </c>
      <c r="AD70" s="738">
        <f t="shared" si="53"/>
        <v>8319.5</v>
      </c>
      <c r="AE70" s="202">
        <f t="shared" si="54"/>
        <v>8319.5</v>
      </c>
      <c r="AF70" s="202">
        <f t="shared" si="73"/>
        <v>0</v>
      </c>
      <c r="AG70" s="738">
        <f t="shared" si="82"/>
        <v>8000</v>
      </c>
      <c r="AH70" s="202">
        <f t="shared" si="74"/>
        <v>4805</v>
      </c>
      <c r="AI70" s="203">
        <f t="shared" si="75"/>
        <v>3195</v>
      </c>
      <c r="AJ70" s="203">
        <f t="shared" si="83"/>
        <v>0</v>
      </c>
      <c r="AK70" s="203">
        <f t="shared" si="76"/>
        <v>3195</v>
      </c>
      <c r="AL70" s="203">
        <f t="shared" si="48"/>
        <v>0</v>
      </c>
      <c r="AM70" s="203">
        <f t="shared" si="77"/>
        <v>0</v>
      </c>
      <c r="AN70" s="203">
        <f t="shared" si="77"/>
        <v>0</v>
      </c>
      <c r="AO70" s="205">
        <f t="shared" si="78"/>
        <v>0</v>
      </c>
      <c r="AP70" s="205">
        <f t="shared" si="79"/>
        <v>0</v>
      </c>
      <c r="AQ70" s="205">
        <f t="shared" si="80"/>
        <v>4805</v>
      </c>
      <c r="AR70" s="205">
        <f t="shared" si="84"/>
        <v>319.5</v>
      </c>
      <c r="AS70" s="205">
        <f t="shared" si="85"/>
        <v>0</v>
      </c>
      <c r="AT70" s="209">
        <f t="shared" si="13"/>
        <v>3195</v>
      </c>
      <c r="AU70" s="209">
        <f t="shared" si="13"/>
        <v>0</v>
      </c>
      <c r="AV70" s="203"/>
      <c r="AW70" s="251">
        <f t="shared" ref="AW70:AW84" si="86">R70*S70</f>
        <v>3195</v>
      </c>
      <c r="AX70" s="251"/>
      <c r="AY70" s="661"/>
      <c r="AZ70" s="661"/>
      <c r="BA70" s="661"/>
    </row>
    <row r="71" spans="2:53" s="76" customFormat="1" ht="33">
      <c r="B71" s="703">
        <f t="shared" si="15"/>
        <v>46</v>
      </c>
      <c r="C71" s="211" t="s">
        <v>1268</v>
      </c>
      <c r="D71" s="198"/>
      <c r="E71" s="206" t="s">
        <v>1823</v>
      </c>
      <c r="F71" s="206">
        <v>1</v>
      </c>
      <c r="G71" s="199">
        <v>3195</v>
      </c>
      <c r="H71" s="736"/>
      <c r="I71" s="199"/>
      <c r="J71" s="736"/>
      <c r="K71" s="199"/>
      <c r="L71" s="199"/>
      <c r="M71" s="736"/>
      <c r="N71" s="199"/>
      <c r="O71" s="736"/>
      <c r="P71" s="199"/>
      <c r="Q71" s="199"/>
      <c r="R71" s="199">
        <f t="shared" si="71"/>
        <v>3195</v>
      </c>
      <c r="S71" s="199">
        <v>1</v>
      </c>
      <c r="T71" s="206"/>
      <c r="U71" s="206"/>
      <c r="V71" s="737">
        <v>0.1</v>
      </c>
      <c r="W71" s="199">
        <f>R71*V71</f>
        <v>319.5</v>
      </c>
      <c r="X71" s="718"/>
      <c r="Y71" s="737"/>
      <c r="Z71" s="199"/>
      <c r="AA71" s="199">
        <f t="shared" si="81"/>
        <v>4805</v>
      </c>
      <c r="AB71" s="796">
        <f>(R71+Z71+U71+W71)*S71+AA71</f>
        <v>8319.5</v>
      </c>
      <c r="AC71" s="738">
        <f t="shared" si="72"/>
        <v>0</v>
      </c>
      <c r="AD71" s="738">
        <f t="shared" si="53"/>
        <v>8319.5</v>
      </c>
      <c r="AE71" s="202">
        <f t="shared" si="54"/>
        <v>8319.5</v>
      </c>
      <c r="AF71" s="202">
        <f t="shared" si="73"/>
        <v>0</v>
      </c>
      <c r="AG71" s="738">
        <f t="shared" si="82"/>
        <v>8000</v>
      </c>
      <c r="AH71" s="202">
        <f t="shared" si="74"/>
        <v>4805</v>
      </c>
      <c r="AI71" s="203">
        <f t="shared" si="75"/>
        <v>3195</v>
      </c>
      <c r="AJ71" s="203">
        <f t="shared" si="83"/>
        <v>0</v>
      </c>
      <c r="AK71" s="203">
        <f t="shared" si="76"/>
        <v>3195</v>
      </c>
      <c r="AL71" s="203">
        <f t="shared" si="48"/>
        <v>0</v>
      </c>
      <c r="AM71" s="203">
        <f t="shared" si="77"/>
        <v>0</v>
      </c>
      <c r="AN71" s="203">
        <f t="shared" si="77"/>
        <v>0</v>
      </c>
      <c r="AO71" s="205">
        <f t="shared" si="78"/>
        <v>0</v>
      </c>
      <c r="AP71" s="205">
        <f t="shared" si="79"/>
        <v>0</v>
      </c>
      <c r="AQ71" s="205">
        <f t="shared" si="80"/>
        <v>4805</v>
      </c>
      <c r="AR71" s="205">
        <f t="shared" si="84"/>
        <v>319.5</v>
      </c>
      <c r="AS71" s="205">
        <f t="shared" si="85"/>
        <v>0</v>
      </c>
      <c r="AT71" s="209">
        <f t="shared" si="13"/>
        <v>3195</v>
      </c>
      <c r="AU71" s="209">
        <f t="shared" si="13"/>
        <v>0</v>
      </c>
      <c r="AV71" s="203"/>
      <c r="AW71" s="251">
        <f t="shared" si="86"/>
        <v>3195</v>
      </c>
      <c r="AX71" s="251"/>
      <c r="AY71" s="661"/>
      <c r="AZ71" s="661"/>
      <c r="BA71" s="661"/>
    </row>
    <row r="72" spans="2:53" s="76" customFormat="1" ht="33">
      <c r="B72" s="703">
        <f t="shared" si="15"/>
        <v>47</v>
      </c>
      <c r="C72" s="211" t="s">
        <v>1268</v>
      </c>
      <c r="D72" s="198"/>
      <c r="E72" s="206" t="s">
        <v>142</v>
      </c>
      <c r="F72" s="206">
        <v>1</v>
      </c>
      <c r="G72" s="199">
        <v>3195</v>
      </c>
      <c r="H72" s="736"/>
      <c r="I72" s="199"/>
      <c r="J72" s="736"/>
      <c r="K72" s="199"/>
      <c r="L72" s="199"/>
      <c r="M72" s="736"/>
      <c r="N72" s="199"/>
      <c r="O72" s="736"/>
      <c r="P72" s="199"/>
      <c r="Q72" s="199"/>
      <c r="R72" s="199">
        <f t="shared" si="71"/>
        <v>3195</v>
      </c>
      <c r="S72" s="199">
        <v>1</v>
      </c>
      <c r="T72" s="206"/>
      <c r="U72" s="206"/>
      <c r="V72" s="737">
        <v>0.1</v>
      </c>
      <c r="W72" s="199">
        <f>R72*V72</f>
        <v>319.5</v>
      </c>
      <c r="X72" s="718"/>
      <c r="Y72" s="737"/>
      <c r="Z72" s="199"/>
      <c r="AA72" s="199">
        <f t="shared" si="81"/>
        <v>4805</v>
      </c>
      <c r="AB72" s="796">
        <f>(R72+AA72)*S72+W72</f>
        <v>8319.5</v>
      </c>
      <c r="AC72" s="738">
        <f t="shared" si="72"/>
        <v>0</v>
      </c>
      <c r="AD72" s="738">
        <f t="shared" si="53"/>
        <v>8319.5</v>
      </c>
      <c r="AE72" s="202">
        <f t="shared" si="54"/>
        <v>8319.5</v>
      </c>
      <c r="AF72" s="202">
        <f t="shared" si="73"/>
        <v>0</v>
      </c>
      <c r="AG72" s="738">
        <f t="shared" si="82"/>
        <v>8000</v>
      </c>
      <c r="AH72" s="202">
        <f t="shared" si="74"/>
        <v>4805</v>
      </c>
      <c r="AI72" s="203">
        <f t="shared" si="75"/>
        <v>3195</v>
      </c>
      <c r="AJ72" s="203">
        <f t="shared" si="83"/>
        <v>0</v>
      </c>
      <c r="AK72" s="203">
        <f t="shared" si="76"/>
        <v>3195</v>
      </c>
      <c r="AL72" s="203">
        <f t="shared" si="48"/>
        <v>0</v>
      </c>
      <c r="AM72" s="203">
        <f t="shared" si="77"/>
        <v>0</v>
      </c>
      <c r="AN72" s="203">
        <f t="shared" si="77"/>
        <v>0</v>
      </c>
      <c r="AO72" s="205">
        <f t="shared" si="78"/>
        <v>0</v>
      </c>
      <c r="AP72" s="205">
        <f t="shared" si="79"/>
        <v>0</v>
      </c>
      <c r="AQ72" s="205">
        <f t="shared" si="80"/>
        <v>4805</v>
      </c>
      <c r="AR72" s="205">
        <f t="shared" si="84"/>
        <v>319.5</v>
      </c>
      <c r="AS72" s="205">
        <f t="shared" si="85"/>
        <v>0</v>
      </c>
      <c r="AT72" s="209">
        <f t="shared" si="13"/>
        <v>3195</v>
      </c>
      <c r="AU72" s="209">
        <f t="shared" si="13"/>
        <v>0</v>
      </c>
      <c r="AV72" s="203"/>
      <c r="AW72" s="251">
        <f t="shared" si="86"/>
        <v>3195</v>
      </c>
      <c r="AX72" s="251"/>
      <c r="AY72" s="661"/>
      <c r="AZ72" s="661"/>
      <c r="BA72" s="661"/>
    </row>
    <row r="73" spans="2:53" s="76" customFormat="1" ht="33">
      <c r="B73" s="703">
        <f t="shared" si="15"/>
        <v>48</v>
      </c>
      <c r="C73" s="197" t="s">
        <v>1270</v>
      </c>
      <c r="D73" s="198"/>
      <c r="E73" s="703" t="s">
        <v>1271</v>
      </c>
      <c r="F73" s="703">
        <v>1</v>
      </c>
      <c r="G73" s="199">
        <v>3195</v>
      </c>
      <c r="H73" s="736"/>
      <c r="I73" s="199"/>
      <c r="J73" s="736"/>
      <c r="K73" s="199"/>
      <c r="L73" s="199"/>
      <c r="M73" s="736"/>
      <c r="N73" s="199"/>
      <c r="O73" s="736"/>
      <c r="P73" s="199"/>
      <c r="Q73" s="199"/>
      <c r="R73" s="199">
        <f t="shared" si="71"/>
        <v>3195</v>
      </c>
      <c r="S73" s="199">
        <v>1</v>
      </c>
      <c r="T73" s="206"/>
      <c r="U73" s="206"/>
      <c r="V73" s="741"/>
      <c r="W73" s="206"/>
      <c r="X73" s="718"/>
      <c r="Y73" s="737"/>
      <c r="Z73" s="199"/>
      <c r="AA73" s="199">
        <f t="shared" si="81"/>
        <v>4805</v>
      </c>
      <c r="AB73" s="796">
        <f>(R73+AA73)*S73</f>
        <v>8000</v>
      </c>
      <c r="AC73" s="738">
        <f t="shared" si="72"/>
        <v>0</v>
      </c>
      <c r="AD73" s="738">
        <f t="shared" si="53"/>
        <v>8000</v>
      </c>
      <c r="AE73" s="202">
        <f t="shared" si="54"/>
        <v>8000</v>
      </c>
      <c r="AF73" s="202">
        <f t="shared" si="73"/>
        <v>0</v>
      </c>
      <c r="AG73" s="738">
        <f t="shared" si="82"/>
        <v>8000</v>
      </c>
      <c r="AH73" s="202">
        <f t="shared" si="74"/>
        <v>4805</v>
      </c>
      <c r="AI73" s="203">
        <f t="shared" si="75"/>
        <v>3195</v>
      </c>
      <c r="AJ73" s="203">
        <f t="shared" si="83"/>
        <v>0</v>
      </c>
      <c r="AK73" s="203">
        <f t="shared" si="76"/>
        <v>3195</v>
      </c>
      <c r="AL73" s="203">
        <f t="shared" si="48"/>
        <v>0</v>
      </c>
      <c r="AM73" s="203">
        <f t="shared" si="77"/>
        <v>0</v>
      </c>
      <c r="AN73" s="203">
        <f t="shared" si="77"/>
        <v>0</v>
      </c>
      <c r="AO73" s="205">
        <f t="shared" si="78"/>
        <v>0</v>
      </c>
      <c r="AP73" s="205">
        <f t="shared" si="79"/>
        <v>0</v>
      </c>
      <c r="AQ73" s="205">
        <f t="shared" si="80"/>
        <v>4805</v>
      </c>
      <c r="AR73" s="205">
        <f t="shared" si="84"/>
        <v>0</v>
      </c>
      <c r="AS73" s="205">
        <f t="shared" si="85"/>
        <v>0</v>
      </c>
      <c r="AT73" s="209">
        <f t="shared" si="13"/>
        <v>3195</v>
      </c>
      <c r="AU73" s="209">
        <f t="shared" si="13"/>
        <v>0</v>
      </c>
      <c r="AV73" s="203"/>
      <c r="AW73" s="251">
        <f t="shared" si="86"/>
        <v>3195</v>
      </c>
      <c r="AX73" s="251"/>
      <c r="AY73" s="661"/>
      <c r="AZ73" s="661"/>
      <c r="BA73" s="661"/>
    </row>
    <row r="74" spans="2:53" s="76" customFormat="1" ht="33">
      <c r="B74" s="703">
        <f t="shared" si="15"/>
        <v>49</v>
      </c>
      <c r="C74" s="211" t="s">
        <v>1824</v>
      </c>
      <c r="D74" s="198"/>
      <c r="E74" s="703" t="s">
        <v>1741</v>
      </c>
      <c r="F74" s="206">
        <v>1</v>
      </c>
      <c r="G74" s="199">
        <v>3195</v>
      </c>
      <c r="H74" s="736"/>
      <c r="I74" s="199"/>
      <c r="J74" s="736"/>
      <c r="K74" s="199"/>
      <c r="L74" s="199"/>
      <c r="M74" s="736"/>
      <c r="N74" s="199"/>
      <c r="O74" s="736"/>
      <c r="P74" s="199"/>
      <c r="Q74" s="199"/>
      <c r="R74" s="199">
        <f>G74+I74+K74+L74+N74+P74+Q74</f>
        <v>3195</v>
      </c>
      <c r="S74" s="199">
        <v>1</v>
      </c>
      <c r="T74" s="206"/>
      <c r="U74" s="206"/>
      <c r="V74" s="741"/>
      <c r="W74" s="206"/>
      <c r="X74" s="718"/>
      <c r="Y74" s="737"/>
      <c r="Z74" s="199"/>
      <c r="AA74" s="199">
        <f t="shared" si="81"/>
        <v>4805</v>
      </c>
      <c r="AB74" s="796">
        <f>(R74+AA74)*S74</f>
        <v>8000</v>
      </c>
      <c r="AC74" s="738">
        <f>AF74</f>
        <v>0</v>
      </c>
      <c r="AD74" s="738">
        <f>AB74+AC74</f>
        <v>8000</v>
      </c>
      <c r="AE74" s="202">
        <f>AB74</f>
        <v>8000</v>
      </c>
      <c r="AF74" s="202">
        <f>AE74-AB74</f>
        <v>0</v>
      </c>
      <c r="AG74" s="738">
        <f t="shared" si="82"/>
        <v>8000</v>
      </c>
      <c r="AH74" s="202">
        <f>AG74-(R74*S74)</f>
        <v>4805</v>
      </c>
      <c r="AI74" s="203">
        <f>G74*S74</f>
        <v>3195</v>
      </c>
      <c r="AJ74" s="203">
        <f t="shared" si="83"/>
        <v>0</v>
      </c>
      <c r="AK74" s="203">
        <f>R74*S74</f>
        <v>3195</v>
      </c>
      <c r="AL74" s="203">
        <f t="shared" si="48"/>
        <v>0</v>
      </c>
      <c r="AM74" s="203">
        <f>AK74-AI74</f>
        <v>0</v>
      </c>
      <c r="AN74" s="203">
        <f>AL74-AJ74</f>
        <v>0</v>
      </c>
      <c r="AO74" s="205">
        <f>Z74*S74</f>
        <v>0</v>
      </c>
      <c r="AP74" s="205">
        <f>Z74*T74</f>
        <v>0</v>
      </c>
      <c r="AQ74" s="205">
        <f>AA74</f>
        <v>4805</v>
      </c>
      <c r="AR74" s="205">
        <f t="shared" si="84"/>
        <v>0</v>
      </c>
      <c r="AS74" s="205">
        <f t="shared" si="85"/>
        <v>0</v>
      </c>
      <c r="AT74" s="209">
        <f t="shared" si="13"/>
        <v>3195</v>
      </c>
      <c r="AU74" s="209">
        <f t="shared" si="13"/>
        <v>0</v>
      </c>
      <c r="AV74" s="203"/>
      <c r="AW74" s="251">
        <f t="shared" si="86"/>
        <v>3195</v>
      </c>
      <c r="AX74" s="251"/>
      <c r="AY74" s="661"/>
      <c r="AZ74" s="661"/>
      <c r="BA74" s="661"/>
    </row>
    <row r="75" spans="2:53" s="76" customFormat="1" ht="33">
      <c r="B75" s="703"/>
      <c r="C75" s="213" t="s">
        <v>1873</v>
      </c>
      <c r="D75" s="198"/>
      <c r="E75" s="206"/>
      <c r="F75" s="206"/>
      <c r="G75" s="199"/>
      <c r="H75" s="736"/>
      <c r="I75" s="199"/>
      <c r="J75" s="736"/>
      <c r="K75" s="199"/>
      <c r="L75" s="199"/>
      <c r="M75" s="736"/>
      <c r="N75" s="199"/>
      <c r="O75" s="736"/>
      <c r="P75" s="199"/>
      <c r="Q75" s="199"/>
      <c r="R75" s="199"/>
      <c r="S75" s="199"/>
      <c r="T75" s="206"/>
      <c r="U75" s="206"/>
      <c r="V75" s="741"/>
      <c r="W75" s="206"/>
      <c r="X75" s="718"/>
      <c r="Y75" s="737"/>
      <c r="Z75" s="199"/>
      <c r="AA75" s="199"/>
      <c r="AB75" s="796"/>
      <c r="AC75" s="738"/>
      <c r="AD75" s="738"/>
      <c r="AE75" s="202"/>
      <c r="AF75" s="202"/>
      <c r="AG75" s="738"/>
      <c r="AH75" s="202"/>
      <c r="AI75" s="203"/>
      <c r="AJ75" s="203"/>
      <c r="AK75" s="203"/>
      <c r="AL75" s="203">
        <f t="shared" si="48"/>
        <v>0</v>
      </c>
      <c r="AM75" s="203"/>
      <c r="AN75" s="203"/>
      <c r="AO75" s="205"/>
      <c r="AP75" s="205"/>
      <c r="AQ75" s="205"/>
      <c r="AR75" s="205"/>
      <c r="AS75" s="205"/>
      <c r="AT75" s="209"/>
      <c r="AU75" s="209"/>
      <c r="AV75" s="203"/>
      <c r="AW75" s="251"/>
      <c r="AX75" s="251"/>
      <c r="AY75" s="661"/>
      <c r="AZ75" s="661"/>
      <c r="BA75" s="661"/>
    </row>
    <row r="76" spans="2:53" s="79" customFormat="1" ht="33">
      <c r="B76" s="703">
        <f>B74+1</f>
        <v>50</v>
      </c>
      <c r="C76" s="197" t="s">
        <v>1841</v>
      </c>
      <c r="D76" s="198"/>
      <c r="E76" s="703" t="s">
        <v>1243</v>
      </c>
      <c r="F76" s="703">
        <v>3</v>
      </c>
      <c r="G76" s="199">
        <v>3770</v>
      </c>
      <c r="H76" s="736"/>
      <c r="I76" s="199"/>
      <c r="J76" s="736"/>
      <c r="K76" s="199"/>
      <c r="L76" s="199"/>
      <c r="M76" s="736"/>
      <c r="N76" s="199"/>
      <c r="O76" s="736"/>
      <c r="P76" s="199"/>
      <c r="Q76" s="199"/>
      <c r="R76" s="199">
        <f>G76+I76+K76+L76+N76+P76+Q76</f>
        <v>3770</v>
      </c>
      <c r="S76" s="199">
        <v>1</v>
      </c>
      <c r="T76" s="206"/>
      <c r="U76" s="206"/>
      <c r="V76" s="741"/>
      <c r="W76" s="206"/>
      <c r="X76" s="718"/>
      <c r="Y76" s="737"/>
      <c r="Z76" s="199"/>
      <c r="AA76" s="199">
        <f>AH76</f>
        <v>4230</v>
      </c>
      <c r="AB76" s="796">
        <f>(R76+AA76)*S76</f>
        <v>8000</v>
      </c>
      <c r="AC76" s="738">
        <f>AF76</f>
        <v>0</v>
      </c>
      <c r="AD76" s="738">
        <f>AB76+AC76</f>
        <v>8000</v>
      </c>
      <c r="AE76" s="202">
        <f>AB76</f>
        <v>8000</v>
      </c>
      <c r="AF76" s="202">
        <f>AE76-AB76</f>
        <v>0</v>
      </c>
      <c r="AG76" s="738">
        <f t="shared" ref="AG76:AG84" si="87">8000*S76</f>
        <v>8000</v>
      </c>
      <c r="AH76" s="202">
        <f>AG76-(R76*S76)</f>
        <v>4230</v>
      </c>
      <c r="AI76" s="203">
        <f>G76*S76</f>
        <v>3770</v>
      </c>
      <c r="AJ76" s="203">
        <f>G76*T76</f>
        <v>0</v>
      </c>
      <c r="AK76" s="203">
        <f>R76*S76</f>
        <v>3770</v>
      </c>
      <c r="AL76" s="203">
        <f t="shared" si="48"/>
        <v>0</v>
      </c>
      <c r="AM76" s="203">
        <f>AK76-AI76</f>
        <v>0</v>
      </c>
      <c r="AN76" s="203">
        <f>AL76-AJ76</f>
        <v>0</v>
      </c>
      <c r="AO76" s="205">
        <f>Z76*S76</f>
        <v>0</v>
      </c>
      <c r="AP76" s="205">
        <f>Z76*T76</f>
        <v>0</v>
      </c>
      <c r="AQ76" s="205">
        <f>AA76</f>
        <v>4230</v>
      </c>
      <c r="AR76" s="205">
        <f>W76*S76</f>
        <v>0</v>
      </c>
      <c r="AS76" s="205">
        <f>W76*T76</f>
        <v>0</v>
      </c>
      <c r="AT76" s="209">
        <f t="shared" si="13"/>
        <v>3770</v>
      </c>
      <c r="AU76" s="209">
        <f t="shared" si="13"/>
        <v>0</v>
      </c>
      <c r="AV76" s="203"/>
      <c r="AW76" s="251">
        <f t="shared" si="86"/>
        <v>3770</v>
      </c>
      <c r="AX76" s="251"/>
      <c r="AY76" s="661"/>
      <c r="AZ76" s="661"/>
      <c r="BA76" s="661"/>
    </row>
    <row r="77" spans="2:53" s="76" customFormat="1" ht="33">
      <c r="B77" s="703">
        <f t="shared" si="15"/>
        <v>51</v>
      </c>
      <c r="C77" s="197" t="s">
        <v>1274</v>
      </c>
      <c r="D77" s="198"/>
      <c r="E77" s="703" t="s">
        <v>143</v>
      </c>
      <c r="F77" s="703">
        <v>3</v>
      </c>
      <c r="G77" s="199">
        <v>3770</v>
      </c>
      <c r="H77" s="736"/>
      <c r="I77" s="199"/>
      <c r="J77" s="736"/>
      <c r="K77" s="199"/>
      <c r="L77" s="199"/>
      <c r="M77" s="736"/>
      <c r="N77" s="199"/>
      <c r="O77" s="736"/>
      <c r="P77" s="199"/>
      <c r="Q77" s="199"/>
      <c r="R77" s="199">
        <f t="shared" ref="R77:R86" si="88">G77+I77+K77+L77+N77+P77+Q77</f>
        <v>3770</v>
      </c>
      <c r="S77" s="199">
        <v>1</v>
      </c>
      <c r="T77" s="206"/>
      <c r="U77" s="206"/>
      <c r="V77" s="741"/>
      <c r="W77" s="206"/>
      <c r="X77" s="718"/>
      <c r="Y77" s="737"/>
      <c r="Z77" s="199"/>
      <c r="AA77" s="199">
        <f t="shared" ref="AA77:AA84" si="89">AH77</f>
        <v>4230</v>
      </c>
      <c r="AB77" s="796">
        <f t="shared" ref="AB77:AB84" si="90">(R77+AA77)*S77</f>
        <v>8000</v>
      </c>
      <c r="AC77" s="738">
        <f t="shared" ref="AC77:AC84" si="91">AF77</f>
        <v>0</v>
      </c>
      <c r="AD77" s="738">
        <f t="shared" ref="AD77:AD86" si="92">AB77+AC77</f>
        <v>8000</v>
      </c>
      <c r="AE77" s="202">
        <f t="shared" ref="AE77:AE86" si="93">AB77</f>
        <v>8000</v>
      </c>
      <c r="AF77" s="202">
        <f t="shared" ref="AF77:AF84" si="94">AE77-AB77</f>
        <v>0</v>
      </c>
      <c r="AG77" s="738">
        <f t="shared" si="87"/>
        <v>8000</v>
      </c>
      <c r="AH77" s="202">
        <f t="shared" ref="AH77:AH84" si="95">AG77-(R77*S77)</f>
        <v>4230</v>
      </c>
      <c r="AI77" s="203">
        <f t="shared" ref="AI77:AI84" si="96">G77*S77</f>
        <v>3770</v>
      </c>
      <c r="AJ77" s="203">
        <f t="shared" ref="AJ77:AJ84" si="97">G77*T77</f>
        <v>0</v>
      </c>
      <c r="AK77" s="203">
        <f t="shared" ref="AK77:AK84" si="98">R77*S77</f>
        <v>3770</v>
      </c>
      <c r="AL77" s="203">
        <f t="shared" si="48"/>
        <v>0</v>
      </c>
      <c r="AM77" s="203">
        <f t="shared" ref="AM77:AN84" si="99">AK77-AI77</f>
        <v>0</v>
      </c>
      <c r="AN77" s="203">
        <f t="shared" si="99"/>
        <v>0</v>
      </c>
      <c r="AO77" s="205">
        <f t="shared" ref="AO77:AO84" si="100">Z77*S77</f>
        <v>0</v>
      </c>
      <c r="AP77" s="205">
        <f t="shared" ref="AP77:AP84" si="101">Z77*T77</f>
        <v>0</v>
      </c>
      <c r="AQ77" s="205">
        <f t="shared" ref="AQ77:AQ84" si="102">AA77</f>
        <v>4230</v>
      </c>
      <c r="AR77" s="205">
        <f t="shared" ref="AR77:AR86" si="103">W77*S77</f>
        <v>0</v>
      </c>
      <c r="AS77" s="205">
        <f t="shared" ref="AS77:AS86" si="104">W77*T77</f>
        <v>0</v>
      </c>
      <c r="AT77" s="209">
        <f t="shared" si="13"/>
        <v>3770</v>
      </c>
      <c r="AU77" s="209">
        <f t="shared" si="13"/>
        <v>0</v>
      </c>
      <c r="AV77" s="203"/>
      <c r="AW77" s="251">
        <f t="shared" si="86"/>
        <v>3770</v>
      </c>
      <c r="AX77" s="251"/>
      <c r="AY77" s="661"/>
      <c r="AZ77" s="661"/>
      <c r="BA77" s="661"/>
    </row>
    <row r="78" spans="2:53" s="76" customFormat="1" ht="33">
      <c r="B78" s="703">
        <f t="shared" ref="B78:B139" si="105">1+B77</f>
        <v>52</v>
      </c>
      <c r="C78" s="197" t="s">
        <v>1274</v>
      </c>
      <c r="D78" s="198"/>
      <c r="E78" s="703" t="s">
        <v>144</v>
      </c>
      <c r="F78" s="703">
        <v>3</v>
      </c>
      <c r="G78" s="199">
        <v>3770</v>
      </c>
      <c r="H78" s="736"/>
      <c r="I78" s="199"/>
      <c r="J78" s="736"/>
      <c r="K78" s="199"/>
      <c r="L78" s="199"/>
      <c r="M78" s="736"/>
      <c r="N78" s="199"/>
      <c r="O78" s="736"/>
      <c r="P78" s="199"/>
      <c r="Q78" s="199"/>
      <c r="R78" s="199">
        <f t="shared" si="88"/>
        <v>3770</v>
      </c>
      <c r="S78" s="199">
        <v>1</v>
      </c>
      <c r="T78" s="206"/>
      <c r="U78" s="206"/>
      <c r="V78" s="741"/>
      <c r="W78" s="206"/>
      <c r="X78" s="718"/>
      <c r="Y78" s="737"/>
      <c r="Z78" s="199"/>
      <c r="AA78" s="199">
        <f t="shared" si="89"/>
        <v>4230</v>
      </c>
      <c r="AB78" s="796">
        <f t="shared" si="90"/>
        <v>8000</v>
      </c>
      <c r="AC78" s="738">
        <f t="shared" si="91"/>
        <v>0</v>
      </c>
      <c r="AD78" s="738">
        <f t="shared" si="92"/>
        <v>8000</v>
      </c>
      <c r="AE78" s="202">
        <f t="shared" si="93"/>
        <v>8000</v>
      </c>
      <c r="AF78" s="202">
        <f t="shared" si="94"/>
        <v>0</v>
      </c>
      <c r="AG78" s="738">
        <f t="shared" si="87"/>
        <v>8000</v>
      </c>
      <c r="AH78" s="202">
        <f t="shared" si="95"/>
        <v>4230</v>
      </c>
      <c r="AI78" s="203">
        <f t="shared" si="96"/>
        <v>3770</v>
      </c>
      <c r="AJ78" s="203">
        <f t="shared" si="97"/>
        <v>0</v>
      </c>
      <c r="AK78" s="203">
        <f t="shared" si="98"/>
        <v>3770</v>
      </c>
      <c r="AL78" s="203">
        <f t="shared" si="48"/>
        <v>0</v>
      </c>
      <c r="AM78" s="203">
        <f t="shared" si="99"/>
        <v>0</v>
      </c>
      <c r="AN78" s="203">
        <f t="shared" si="99"/>
        <v>0</v>
      </c>
      <c r="AO78" s="205">
        <f t="shared" si="100"/>
        <v>0</v>
      </c>
      <c r="AP78" s="205">
        <f t="shared" si="101"/>
        <v>0</v>
      </c>
      <c r="AQ78" s="205">
        <f t="shared" si="102"/>
        <v>4230</v>
      </c>
      <c r="AR78" s="205">
        <f t="shared" si="103"/>
        <v>0</v>
      </c>
      <c r="AS78" s="205">
        <f t="shared" si="104"/>
        <v>0</v>
      </c>
      <c r="AT78" s="209">
        <f t="shared" si="13"/>
        <v>3770</v>
      </c>
      <c r="AU78" s="209">
        <f t="shared" si="13"/>
        <v>0</v>
      </c>
      <c r="AV78" s="203"/>
      <c r="AW78" s="251">
        <f t="shared" si="86"/>
        <v>3770</v>
      </c>
      <c r="AX78" s="251"/>
      <c r="AY78" s="661"/>
      <c r="AZ78" s="661"/>
      <c r="BA78" s="661"/>
    </row>
    <row r="79" spans="2:53" s="76" customFormat="1" ht="33">
      <c r="B79" s="703">
        <f t="shared" si="105"/>
        <v>53</v>
      </c>
      <c r="C79" s="197" t="s">
        <v>1274</v>
      </c>
      <c r="D79" s="198"/>
      <c r="E79" s="703" t="s">
        <v>145</v>
      </c>
      <c r="F79" s="703">
        <v>3</v>
      </c>
      <c r="G79" s="199">
        <v>3770</v>
      </c>
      <c r="H79" s="736"/>
      <c r="I79" s="199"/>
      <c r="J79" s="736"/>
      <c r="K79" s="199"/>
      <c r="L79" s="199"/>
      <c r="M79" s="736"/>
      <c r="N79" s="199"/>
      <c r="O79" s="736"/>
      <c r="P79" s="199"/>
      <c r="Q79" s="199"/>
      <c r="R79" s="199">
        <f t="shared" si="88"/>
        <v>3770</v>
      </c>
      <c r="S79" s="199">
        <v>1</v>
      </c>
      <c r="T79" s="206"/>
      <c r="U79" s="206"/>
      <c r="V79" s="741"/>
      <c r="W79" s="206"/>
      <c r="X79" s="718"/>
      <c r="Y79" s="737"/>
      <c r="Z79" s="199"/>
      <c r="AA79" s="199">
        <f t="shared" si="89"/>
        <v>4230</v>
      </c>
      <c r="AB79" s="796">
        <f t="shared" si="90"/>
        <v>8000</v>
      </c>
      <c r="AC79" s="738">
        <f t="shared" si="91"/>
        <v>0</v>
      </c>
      <c r="AD79" s="738">
        <f t="shared" si="92"/>
        <v>8000</v>
      </c>
      <c r="AE79" s="202">
        <f t="shared" si="93"/>
        <v>8000</v>
      </c>
      <c r="AF79" s="202">
        <f t="shared" si="94"/>
        <v>0</v>
      </c>
      <c r="AG79" s="738">
        <f t="shared" si="87"/>
        <v>8000</v>
      </c>
      <c r="AH79" s="202">
        <f t="shared" si="95"/>
        <v>4230</v>
      </c>
      <c r="AI79" s="203">
        <f t="shared" si="96"/>
        <v>3770</v>
      </c>
      <c r="AJ79" s="203">
        <f t="shared" si="97"/>
        <v>0</v>
      </c>
      <c r="AK79" s="203">
        <f t="shared" si="98"/>
        <v>3770</v>
      </c>
      <c r="AL79" s="203">
        <f t="shared" si="48"/>
        <v>0</v>
      </c>
      <c r="AM79" s="203">
        <f t="shared" si="99"/>
        <v>0</v>
      </c>
      <c r="AN79" s="203">
        <f t="shared" si="99"/>
        <v>0</v>
      </c>
      <c r="AO79" s="205">
        <f t="shared" si="100"/>
        <v>0</v>
      </c>
      <c r="AP79" s="205">
        <f t="shared" si="101"/>
        <v>0</v>
      </c>
      <c r="AQ79" s="205">
        <f t="shared" si="102"/>
        <v>4230</v>
      </c>
      <c r="AR79" s="205">
        <f t="shared" si="103"/>
        <v>0</v>
      </c>
      <c r="AS79" s="205">
        <f t="shared" si="104"/>
        <v>0</v>
      </c>
      <c r="AT79" s="209">
        <f t="shared" ref="AT79:AU151" si="106">AK79</f>
        <v>3770</v>
      </c>
      <c r="AU79" s="209">
        <f t="shared" si="106"/>
        <v>0</v>
      </c>
      <c r="AV79" s="203"/>
      <c r="AW79" s="251">
        <f t="shared" si="86"/>
        <v>3770</v>
      </c>
      <c r="AX79" s="251"/>
      <c r="AY79" s="661"/>
      <c r="AZ79" s="661"/>
      <c r="BA79" s="661"/>
    </row>
    <row r="80" spans="2:53" s="76" customFormat="1" ht="33">
      <c r="B80" s="703">
        <f t="shared" si="105"/>
        <v>54</v>
      </c>
      <c r="C80" s="197" t="s">
        <v>1274</v>
      </c>
      <c r="D80" s="198"/>
      <c r="E80" s="703" t="s">
        <v>146</v>
      </c>
      <c r="F80" s="703">
        <v>3</v>
      </c>
      <c r="G80" s="199">
        <v>3770</v>
      </c>
      <c r="H80" s="736"/>
      <c r="I80" s="199"/>
      <c r="J80" s="736"/>
      <c r="K80" s="199"/>
      <c r="L80" s="199"/>
      <c r="M80" s="736"/>
      <c r="N80" s="199"/>
      <c r="O80" s="736"/>
      <c r="P80" s="199"/>
      <c r="Q80" s="199"/>
      <c r="R80" s="199">
        <f t="shared" si="88"/>
        <v>3770</v>
      </c>
      <c r="S80" s="199">
        <v>1</v>
      </c>
      <c r="T80" s="206"/>
      <c r="U80" s="206"/>
      <c r="V80" s="741"/>
      <c r="W80" s="206"/>
      <c r="X80" s="718"/>
      <c r="Y80" s="737"/>
      <c r="Z80" s="199"/>
      <c r="AA80" s="199">
        <f t="shared" si="89"/>
        <v>4230</v>
      </c>
      <c r="AB80" s="796">
        <f t="shared" si="90"/>
        <v>8000</v>
      </c>
      <c r="AC80" s="738">
        <f t="shared" si="91"/>
        <v>0</v>
      </c>
      <c r="AD80" s="738">
        <f t="shared" si="92"/>
        <v>8000</v>
      </c>
      <c r="AE80" s="202">
        <f t="shared" si="93"/>
        <v>8000</v>
      </c>
      <c r="AF80" s="202">
        <f t="shared" si="94"/>
        <v>0</v>
      </c>
      <c r="AG80" s="738">
        <f t="shared" si="87"/>
        <v>8000</v>
      </c>
      <c r="AH80" s="202">
        <f t="shared" si="95"/>
        <v>4230</v>
      </c>
      <c r="AI80" s="203">
        <f t="shared" si="96"/>
        <v>3770</v>
      </c>
      <c r="AJ80" s="203">
        <f t="shared" si="97"/>
        <v>0</v>
      </c>
      <c r="AK80" s="203">
        <f t="shared" si="98"/>
        <v>3770</v>
      </c>
      <c r="AL80" s="203">
        <f t="shared" si="48"/>
        <v>0</v>
      </c>
      <c r="AM80" s="203">
        <f t="shared" si="99"/>
        <v>0</v>
      </c>
      <c r="AN80" s="203">
        <f t="shared" si="99"/>
        <v>0</v>
      </c>
      <c r="AO80" s="205">
        <f t="shared" si="100"/>
        <v>0</v>
      </c>
      <c r="AP80" s="205">
        <f t="shared" si="101"/>
        <v>0</v>
      </c>
      <c r="AQ80" s="205">
        <f t="shared" si="102"/>
        <v>4230</v>
      </c>
      <c r="AR80" s="205">
        <f t="shared" si="103"/>
        <v>0</v>
      </c>
      <c r="AS80" s="205">
        <f t="shared" si="104"/>
        <v>0</v>
      </c>
      <c r="AT80" s="209">
        <f t="shared" si="106"/>
        <v>3770</v>
      </c>
      <c r="AU80" s="209">
        <f t="shared" si="106"/>
        <v>0</v>
      </c>
      <c r="AV80" s="203"/>
      <c r="AW80" s="251">
        <f t="shared" si="86"/>
        <v>3770</v>
      </c>
      <c r="AX80" s="251"/>
      <c r="AY80" s="661"/>
      <c r="AZ80" s="661"/>
      <c r="BA80" s="661"/>
    </row>
    <row r="81" spans="2:53" s="76" customFormat="1" ht="33">
      <c r="B81" s="703">
        <f t="shared" si="105"/>
        <v>55</v>
      </c>
      <c r="C81" s="197" t="s">
        <v>1274</v>
      </c>
      <c r="D81" s="198"/>
      <c r="E81" s="703" t="s">
        <v>147</v>
      </c>
      <c r="F81" s="703">
        <v>3</v>
      </c>
      <c r="G81" s="199">
        <v>3770</v>
      </c>
      <c r="H81" s="736"/>
      <c r="I81" s="199"/>
      <c r="J81" s="736"/>
      <c r="K81" s="199"/>
      <c r="L81" s="199"/>
      <c r="M81" s="736"/>
      <c r="N81" s="199"/>
      <c r="O81" s="736"/>
      <c r="P81" s="199"/>
      <c r="Q81" s="199"/>
      <c r="R81" s="199">
        <f t="shared" si="88"/>
        <v>3770</v>
      </c>
      <c r="S81" s="199">
        <v>1</v>
      </c>
      <c r="T81" s="206"/>
      <c r="U81" s="206"/>
      <c r="V81" s="741"/>
      <c r="W81" s="206"/>
      <c r="X81" s="718"/>
      <c r="Y81" s="737"/>
      <c r="Z81" s="199"/>
      <c r="AA81" s="199">
        <f t="shared" si="89"/>
        <v>4230</v>
      </c>
      <c r="AB81" s="796">
        <f t="shared" si="90"/>
        <v>8000</v>
      </c>
      <c r="AC81" s="738">
        <f t="shared" si="91"/>
        <v>0</v>
      </c>
      <c r="AD81" s="738">
        <f t="shared" si="92"/>
        <v>8000</v>
      </c>
      <c r="AE81" s="202">
        <f t="shared" si="93"/>
        <v>8000</v>
      </c>
      <c r="AF81" s="202">
        <f t="shared" si="94"/>
        <v>0</v>
      </c>
      <c r="AG81" s="738">
        <f t="shared" si="87"/>
        <v>8000</v>
      </c>
      <c r="AH81" s="202">
        <f t="shared" si="95"/>
        <v>4230</v>
      </c>
      <c r="AI81" s="203">
        <f t="shared" si="96"/>
        <v>3770</v>
      </c>
      <c r="AJ81" s="203">
        <f t="shared" si="97"/>
        <v>0</v>
      </c>
      <c r="AK81" s="203">
        <f t="shared" si="98"/>
        <v>3770</v>
      </c>
      <c r="AL81" s="203">
        <f t="shared" si="48"/>
        <v>0</v>
      </c>
      <c r="AM81" s="203">
        <f t="shared" si="99"/>
        <v>0</v>
      </c>
      <c r="AN81" s="203">
        <f t="shared" si="99"/>
        <v>0</v>
      </c>
      <c r="AO81" s="205">
        <f t="shared" si="100"/>
        <v>0</v>
      </c>
      <c r="AP81" s="205">
        <f t="shared" si="101"/>
        <v>0</v>
      </c>
      <c r="AQ81" s="205">
        <f t="shared" si="102"/>
        <v>4230</v>
      </c>
      <c r="AR81" s="205">
        <f t="shared" si="103"/>
        <v>0</v>
      </c>
      <c r="AS81" s="205">
        <f t="shared" si="104"/>
        <v>0</v>
      </c>
      <c r="AT81" s="209">
        <f t="shared" si="106"/>
        <v>3770</v>
      </c>
      <c r="AU81" s="209">
        <f t="shared" si="106"/>
        <v>0</v>
      </c>
      <c r="AV81" s="203"/>
      <c r="AW81" s="251">
        <f t="shared" si="86"/>
        <v>3770</v>
      </c>
      <c r="AX81" s="251"/>
      <c r="AY81" s="661"/>
      <c r="AZ81" s="661"/>
      <c r="BA81" s="661"/>
    </row>
    <row r="82" spans="2:53" s="76" customFormat="1" ht="33">
      <c r="B82" s="703">
        <f t="shared" si="105"/>
        <v>56</v>
      </c>
      <c r="C82" s="197" t="s">
        <v>1274</v>
      </c>
      <c r="D82" s="198"/>
      <c r="E82" s="703" t="s">
        <v>148</v>
      </c>
      <c r="F82" s="703">
        <v>3</v>
      </c>
      <c r="G82" s="199">
        <v>3770</v>
      </c>
      <c r="H82" s="736"/>
      <c r="I82" s="199"/>
      <c r="J82" s="736"/>
      <c r="K82" s="199"/>
      <c r="L82" s="199"/>
      <c r="M82" s="736"/>
      <c r="N82" s="199"/>
      <c r="O82" s="736"/>
      <c r="P82" s="199"/>
      <c r="Q82" s="199"/>
      <c r="R82" s="199">
        <f t="shared" si="88"/>
        <v>3770</v>
      </c>
      <c r="S82" s="199">
        <v>1</v>
      </c>
      <c r="T82" s="206"/>
      <c r="U82" s="206"/>
      <c r="V82" s="741"/>
      <c r="W82" s="206"/>
      <c r="X82" s="718"/>
      <c r="Y82" s="737"/>
      <c r="Z82" s="199"/>
      <c r="AA82" s="199">
        <f t="shared" si="89"/>
        <v>4230</v>
      </c>
      <c r="AB82" s="796">
        <f t="shared" si="90"/>
        <v>8000</v>
      </c>
      <c r="AC82" s="738">
        <f t="shared" si="91"/>
        <v>0</v>
      </c>
      <c r="AD82" s="738">
        <f t="shared" si="92"/>
        <v>8000</v>
      </c>
      <c r="AE82" s="202">
        <f t="shared" si="93"/>
        <v>8000</v>
      </c>
      <c r="AF82" s="202">
        <f t="shared" si="94"/>
        <v>0</v>
      </c>
      <c r="AG82" s="738">
        <f t="shared" si="87"/>
        <v>8000</v>
      </c>
      <c r="AH82" s="202">
        <f t="shared" si="95"/>
        <v>4230</v>
      </c>
      <c r="AI82" s="203">
        <f t="shared" si="96"/>
        <v>3770</v>
      </c>
      <c r="AJ82" s="203">
        <f t="shared" si="97"/>
        <v>0</v>
      </c>
      <c r="AK82" s="203">
        <f t="shared" si="98"/>
        <v>3770</v>
      </c>
      <c r="AL82" s="203">
        <f t="shared" si="48"/>
        <v>0</v>
      </c>
      <c r="AM82" s="203">
        <f t="shared" si="99"/>
        <v>0</v>
      </c>
      <c r="AN82" s="203">
        <f t="shared" si="99"/>
        <v>0</v>
      </c>
      <c r="AO82" s="205">
        <f t="shared" si="100"/>
        <v>0</v>
      </c>
      <c r="AP82" s="205">
        <f t="shared" si="101"/>
        <v>0</v>
      </c>
      <c r="AQ82" s="205">
        <f t="shared" si="102"/>
        <v>4230</v>
      </c>
      <c r="AR82" s="205">
        <f t="shared" si="103"/>
        <v>0</v>
      </c>
      <c r="AS82" s="205">
        <f t="shared" si="104"/>
        <v>0</v>
      </c>
      <c r="AT82" s="209">
        <f t="shared" si="106"/>
        <v>3770</v>
      </c>
      <c r="AU82" s="209">
        <f t="shared" si="106"/>
        <v>0</v>
      </c>
      <c r="AV82" s="203"/>
      <c r="AW82" s="251">
        <f t="shared" si="86"/>
        <v>3770</v>
      </c>
      <c r="AX82" s="251"/>
      <c r="AY82" s="661"/>
      <c r="AZ82" s="661"/>
      <c r="BA82" s="661"/>
    </row>
    <row r="83" spans="2:53" s="78" customFormat="1" ht="33">
      <c r="B83" s="703">
        <f t="shared" si="105"/>
        <v>57</v>
      </c>
      <c r="C83" s="197" t="s">
        <v>1274</v>
      </c>
      <c r="D83" s="198"/>
      <c r="E83" s="703" t="s">
        <v>149</v>
      </c>
      <c r="F83" s="703">
        <v>3</v>
      </c>
      <c r="G83" s="199">
        <v>3770</v>
      </c>
      <c r="H83" s="736"/>
      <c r="I83" s="199"/>
      <c r="J83" s="736"/>
      <c r="K83" s="199"/>
      <c r="L83" s="199"/>
      <c r="M83" s="736"/>
      <c r="N83" s="199"/>
      <c r="O83" s="736"/>
      <c r="P83" s="199"/>
      <c r="Q83" s="199"/>
      <c r="R83" s="199">
        <f t="shared" si="88"/>
        <v>3770</v>
      </c>
      <c r="S83" s="199">
        <v>1</v>
      </c>
      <c r="T83" s="206"/>
      <c r="U83" s="206"/>
      <c r="V83" s="741"/>
      <c r="W83" s="206"/>
      <c r="X83" s="718"/>
      <c r="Y83" s="737"/>
      <c r="Z83" s="199"/>
      <c r="AA83" s="199">
        <f t="shared" si="89"/>
        <v>4230</v>
      </c>
      <c r="AB83" s="796">
        <f t="shared" si="90"/>
        <v>8000</v>
      </c>
      <c r="AC83" s="738">
        <f t="shared" si="91"/>
        <v>0</v>
      </c>
      <c r="AD83" s="738">
        <f t="shared" si="92"/>
        <v>8000</v>
      </c>
      <c r="AE83" s="202">
        <f t="shared" si="93"/>
        <v>8000</v>
      </c>
      <c r="AF83" s="202">
        <f t="shared" si="94"/>
        <v>0</v>
      </c>
      <c r="AG83" s="738">
        <f t="shared" si="87"/>
        <v>8000</v>
      </c>
      <c r="AH83" s="202">
        <f t="shared" si="95"/>
        <v>4230</v>
      </c>
      <c r="AI83" s="203">
        <f t="shared" si="96"/>
        <v>3770</v>
      </c>
      <c r="AJ83" s="203">
        <f t="shared" si="97"/>
        <v>0</v>
      </c>
      <c r="AK83" s="203">
        <f t="shared" si="98"/>
        <v>3770</v>
      </c>
      <c r="AL83" s="203">
        <f t="shared" si="48"/>
        <v>0</v>
      </c>
      <c r="AM83" s="203">
        <f t="shared" si="99"/>
        <v>0</v>
      </c>
      <c r="AN83" s="203">
        <f t="shared" si="99"/>
        <v>0</v>
      </c>
      <c r="AO83" s="205">
        <f t="shared" si="100"/>
        <v>0</v>
      </c>
      <c r="AP83" s="205">
        <f t="shared" si="101"/>
        <v>0</v>
      </c>
      <c r="AQ83" s="205">
        <f t="shared" si="102"/>
        <v>4230</v>
      </c>
      <c r="AR83" s="205">
        <f t="shared" si="103"/>
        <v>0</v>
      </c>
      <c r="AS83" s="205">
        <f t="shared" si="104"/>
        <v>0</v>
      </c>
      <c r="AT83" s="209">
        <f t="shared" si="106"/>
        <v>3770</v>
      </c>
      <c r="AU83" s="209">
        <f t="shared" si="106"/>
        <v>0</v>
      </c>
      <c r="AV83" s="203"/>
      <c r="AW83" s="251">
        <f t="shared" si="86"/>
        <v>3770</v>
      </c>
      <c r="AX83" s="251"/>
      <c r="AY83" s="661"/>
      <c r="AZ83" s="661"/>
      <c r="BA83" s="661"/>
    </row>
    <row r="84" spans="2:53" s="79" customFormat="1" ht="33">
      <c r="B84" s="703">
        <f t="shared" si="105"/>
        <v>58</v>
      </c>
      <c r="C84" s="197" t="s">
        <v>1274</v>
      </c>
      <c r="D84" s="198"/>
      <c r="E84" s="703" t="s">
        <v>150</v>
      </c>
      <c r="F84" s="703">
        <v>3</v>
      </c>
      <c r="G84" s="199">
        <v>3770</v>
      </c>
      <c r="H84" s="736"/>
      <c r="I84" s="199"/>
      <c r="J84" s="736"/>
      <c r="K84" s="199"/>
      <c r="L84" s="199"/>
      <c r="M84" s="736"/>
      <c r="N84" s="199"/>
      <c r="O84" s="736"/>
      <c r="P84" s="199"/>
      <c r="Q84" s="199"/>
      <c r="R84" s="199">
        <f t="shared" si="88"/>
        <v>3770</v>
      </c>
      <c r="S84" s="199">
        <v>1</v>
      </c>
      <c r="T84" s="206"/>
      <c r="U84" s="206"/>
      <c r="V84" s="741"/>
      <c r="W84" s="206"/>
      <c r="X84" s="718"/>
      <c r="Y84" s="737"/>
      <c r="Z84" s="199"/>
      <c r="AA84" s="199">
        <f t="shared" si="89"/>
        <v>4230</v>
      </c>
      <c r="AB84" s="796">
        <f t="shared" si="90"/>
        <v>8000</v>
      </c>
      <c r="AC84" s="738">
        <f t="shared" si="91"/>
        <v>0</v>
      </c>
      <c r="AD84" s="738">
        <f t="shared" si="92"/>
        <v>8000</v>
      </c>
      <c r="AE84" s="202">
        <f t="shared" si="93"/>
        <v>8000</v>
      </c>
      <c r="AF84" s="202">
        <f t="shared" si="94"/>
        <v>0</v>
      </c>
      <c r="AG84" s="738">
        <f t="shared" si="87"/>
        <v>8000</v>
      </c>
      <c r="AH84" s="202">
        <f t="shared" si="95"/>
        <v>4230</v>
      </c>
      <c r="AI84" s="203">
        <f t="shared" si="96"/>
        <v>3770</v>
      </c>
      <c r="AJ84" s="203">
        <f t="shared" si="97"/>
        <v>0</v>
      </c>
      <c r="AK84" s="203">
        <f t="shared" si="98"/>
        <v>3770</v>
      </c>
      <c r="AL84" s="203">
        <f>R84*T84</f>
        <v>0</v>
      </c>
      <c r="AM84" s="203">
        <f t="shared" si="99"/>
        <v>0</v>
      </c>
      <c r="AN84" s="203">
        <f t="shared" si="99"/>
        <v>0</v>
      </c>
      <c r="AO84" s="205">
        <f t="shared" si="100"/>
        <v>0</v>
      </c>
      <c r="AP84" s="205">
        <f t="shared" si="101"/>
        <v>0</v>
      </c>
      <c r="AQ84" s="205">
        <f t="shared" si="102"/>
        <v>4230</v>
      </c>
      <c r="AR84" s="205">
        <f t="shared" si="103"/>
        <v>0</v>
      </c>
      <c r="AS84" s="205">
        <f t="shared" si="104"/>
        <v>0</v>
      </c>
      <c r="AT84" s="209">
        <f t="shared" si="106"/>
        <v>3770</v>
      </c>
      <c r="AU84" s="209">
        <f t="shared" si="106"/>
        <v>0</v>
      </c>
      <c r="AV84" s="203"/>
      <c r="AW84" s="251">
        <f t="shared" si="86"/>
        <v>3770</v>
      </c>
      <c r="AX84" s="251"/>
      <c r="AY84" s="661"/>
      <c r="AZ84" s="661"/>
      <c r="BA84" s="661"/>
    </row>
    <row r="85" spans="2:53" s="76" customFormat="1" ht="33">
      <c r="B85" s="703">
        <f t="shared" si="105"/>
        <v>59</v>
      </c>
      <c r="C85" s="197" t="s">
        <v>1274</v>
      </c>
      <c r="D85" s="198"/>
      <c r="E85" s="703" t="s">
        <v>1243</v>
      </c>
      <c r="F85" s="703">
        <v>3</v>
      </c>
      <c r="G85" s="199">
        <v>3770</v>
      </c>
      <c r="H85" s="736"/>
      <c r="I85" s="199"/>
      <c r="J85" s="736"/>
      <c r="K85" s="199"/>
      <c r="L85" s="199"/>
      <c r="M85" s="736"/>
      <c r="N85" s="199"/>
      <c r="O85" s="736"/>
      <c r="P85" s="199"/>
      <c r="Q85" s="199"/>
      <c r="R85" s="199">
        <f t="shared" si="88"/>
        <v>3770</v>
      </c>
      <c r="S85" s="199"/>
      <c r="T85" s="199">
        <v>0.5</v>
      </c>
      <c r="U85" s="206"/>
      <c r="V85" s="741"/>
      <c r="W85" s="206"/>
      <c r="X85" s="718"/>
      <c r="Y85" s="737"/>
      <c r="Z85" s="199"/>
      <c r="AA85" s="199">
        <f>AH85</f>
        <v>2115</v>
      </c>
      <c r="AB85" s="796">
        <f>(R85+Z85+U85+W85)*T85+AA85</f>
        <v>4000</v>
      </c>
      <c r="AC85" s="738">
        <f>AF85</f>
        <v>0</v>
      </c>
      <c r="AD85" s="738">
        <f t="shared" si="92"/>
        <v>4000</v>
      </c>
      <c r="AE85" s="202">
        <f t="shared" si="93"/>
        <v>4000</v>
      </c>
      <c r="AF85" s="202">
        <f>AE85-AB85</f>
        <v>0</v>
      </c>
      <c r="AG85" s="738">
        <f>8000*T85</f>
        <v>4000</v>
      </c>
      <c r="AH85" s="202">
        <f>AG85-(R85*T85)</f>
        <v>2115</v>
      </c>
      <c r="AI85" s="203">
        <f>G85*S85</f>
        <v>0</v>
      </c>
      <c r="AJ85" s="203">
        <f>G85*T85</f>
        <v>1885</v>
      </c>
      <c r="AK85" s="203">
        <f>R85*S85</f>
        <v>0</v>
      </c>
      <c r="AL85" s="203">
        <f t="shared" si="48"/>
        <v>1885</v>
      </c>
      <c r="AM85" s="203">
        <f>AK85-AI85</f>
        <v>0</v>
      </c>
      <c r="AN85" s="203">
        <f>AL85-AJ85</f>
        <v>0</v>
      </c>
      <c r="AO85" s="205">
        <f>Z85*S85</f>
        <v>0</v>
      </c>
      <c r="AP85" s="205">
        <f>Z85*T85</f>
        <v>0</v>
      </c>
      <c r="AQ85" s="205">
        <f>AA85</f>
        <v>2115</v>
      </c>
      <c r="AR85" s="205">
        <f t="shared" si="103"/>
        <v>0</v>
      </c>
      <c r="AS85" s="205">
        <f t="shared" si="104"/>
        <v>0</v>
      </c>
      <c r="AT85" s="209">
        <f t="shared" si="106"/>
        <v>0</v>
      </c>
      <c r="AU85" s="209">
        <f t="shared" si="106"/>
        <v>1885</v>
      </c>
      <c r="AV85" s="203"/>
      <c r="AW85" s="251">
        <f>R85*T85</f>
        <v>1885</v>
      </c>
      <c r="AX85" s="251"/>
      <c r="AY85" s="661"/>
      <c r="AZ85" s="661"/>
      <c r="BA85" s="661"/>
    </row>
    <row r="86" spans="2:53" s="76" customFormat="1" ht="33">
      <c r="B86" s="703">
        <f t="shared" si="105"/>
        <v>60</v>
      </c>
      <c r="C86" s="197" t="s">
        <v>1274</v>
      </c>
      <c r="D86" s="198"/>
      <c r="E86" s="703" t="s">
        <v>1741</v>
      </c>
      <c r="F86" s="703">
        <v>3</v>
      </c>
      <c r="G86" s="199">
        <v>3770</v>
      </c>
      <c r="H86" s="736"/>
      <c r="I86" s="199"/>
      <c r="J86" s="736"/>
      <c r="K86" s="199"/>
      <c r="L86" s="199"/>
      <c r="M86" s="736"/>
      <c r="N86" s="199"/>
      <c r="O86" s="736"/>
      <c r="P86" s="199"/>
      <c r="Q86" s="199"/>
      <c r="R86" s="199">
        <f t="shared" si="88"/>
        <v>3770</v>
      </c>
      <c r="S86" s="199"/>
      <c r="T86" s="199">
        <v>0.5</v>
      </c>
      <c r="U86" s="206"/>
      <c r="V86" s="741"/>
      <c r="W86" s="206"/>
      <c r="X86" s="718"/>
      <c r="Y86" s="737"/>
      <c r="Z86" s="199"/>
      <c r="AA86" s="199">
        <f>AH86</f>
        <v>2115</v>
      </c>
      <c r="AB86" s="796">
        <f>(R86+Z86+U86+W86)*T86+AA86</f>
        <v>4000</v>
      </c>
      <c r="AC86" s="738">
        <f>AF86</f>
        <v>0</v>
      </c>
      <c r="AD86" s="738">
        <f t="shared" si="92"/>
        <v>4000</v>
      </c>
      <c r="AE86" s="202">
        <f t="shared" si="93"/>
        <v>4000</v>
      </c>
      <c r="AF86" s="202">
        <f>AE86-AB86</f>
        <v>0</v>
      </c>
      <c r="AG86" s="738">
        <f>8000*T86</f>
        <v>4000</v>
      </c>
      <c r="AH86" s="202">
        <f>AG86-(R86*T86)</f>
        <v>2115</v>
      </c>
      <c r="AI86" s="203">
        <f>G86*S86</f>
        <v>0</v>
      </c>
      <c r="AJ86" s="203">
        <f>G86*T86</f>
        <v>1885</v>
      </c>
      <c r="AK86" s="203">
        <f>R86*S86</f>
        <v>0</v>
      </c>
      <c r="AL86" s="203">
        <f t="shared" si="48"/>
        <v>1885</v>
      </c>
      <c r="AM86" s="203">
        <f>AK86-AI86</f>
        <v>0</v>
      </c>
      <c r="AN86" s="203">
        <f>AL86-AJ86</f>
        <v>0</v>
      </c>
      <c r="AO86" s="205">
        <f>Z86*S86</f>
        <v>0</v>
      </c>
      <c r="AP86" s="205">
        <f>Z86*T86</f>
        <v>0</v>
      </c>
      <c r="AQ86" s="205">
        <f>AA86</f>
        <v>2115</v>
      </c>
      <c r="AR86" s="205">
        <f t="shared" si="103"/>
        <v>0</v>
      </c>
      <c r="AS86" s="205">
        <f t="shared" si="104"/>
        <v>0</v>
      </c>
      <c r="AT86" s="209">
        <f t="shared" si="106"/>
        <v>0</v>
      </c>
      <c r="AU86" s="209">
        <f t="shared" si="106"/>
        <v>1885</v>
      </c>
      <c r="AV86" s="203"/>
      <c r="AW86" s="251">
        <f>R86*T86</f>
        <v>1885</v>
      </c>
      <c r="AX86" s="251"/>
      <c r="AY86" s="661"/>
      <c r="AZ86" s="661"/>
      <c r="BA86" s="661"/>
    </row>
    <row r="87" spans="2:53" s="78" customFormat="1" ht="31.5">
      <c r="B87" s="703"/>
      <c r="C87" s="214" t="s">
        <v>1278</v>
      </c>
      <c r="D87" s="192"/>
      <c r="E87" s="191"/>
      <c r="F87" s="191"/>
      <c r="G87" s="215">
        <f>SUM(G44:G86)</f>
        <v>142976</v>
      </c>
      <c r="H87" s="743"/>
      <c r="I87" s="210"/>
      <c r="J87" s="743"/>
      <c r="K87" s="210"/>
      <c r="L87" s="210"/>
      <c r="M87" s="743"/>
      <c r="N87" s="210"/>
      <c r="O87" s="743"/>
      <c r="P87" s="210"/>
      <c r="Q87" s="210"/>
      <c r="R87" s="210">
        <f>SUM(R44:R86)</f>
        <v>147615.20000000001</v>
      </c>
      <c r="S87" s="210">
        <f>SUM(S44:S86)</f>
        <v>30.5</v>
      </c>
      <c r="T87" s="210">
        <f>SUM(T44:T86)</f>
        <v>3</v>
      </c>
      <c r="U87" s="210"/>
      <c r="V87" s="743"/>
      <c r="W87" s="210">
        <f>SUM(W44:W86)</f>
        <v>1278</v>
      </c>
      <c r="X87" s="743"/>
      <c r="Y87" s="743"/>
      <c r="Z87" s="210"/>
      <c r="AA87" s="210">
        <f t="shared" ref="AA87:AV87" si="107">SUM(AA44:AA86)</f>
        <v>135458.6</v>
      </c>
      <c r="AB87" s="798">
        <f t="shared" si="107"/>
        <v>269278</v>
      </c>
      <c r="AC87" s="210">
        <f t="shared" si="107"/>
        <v>0</v>
      </c>
      <c r="AD87" s="210">
        <f>SUM(AD44:AD86)</f>
        <v>269278</v>
      </c>
      <c r="AE87" s="210">
        <f t="shared" si="107"/>
        <v>269278</v>
      </c>
      <c r="AF87" s="210">
        <f t="shared" si="107"/>
        <v>0</v>
      </c>
      <c r="AG87" s="210">
        <f>SUM(AG44:AG86)</f>
        <v>268000</v>
      </c>
      <c r="AH87" s="210">
        <f t="shared" si="107"/>
        <v>135458.6</v>
      </c>
      <c r="AI87" s="210">
        <f t="shared" si="107"/>
        <v>119493</v>
      </c>
      <c r="AJ87" s="210">
        <f t="shared" si="107"/>
        <v>11741.5</v>
      </c>
      <c r="AK87" s="210">
        <f t="shared" si="107"/>
        <v>124074.6</v>
      </c>
      <c r="AL87" s="210">
        <f t="shared" si="107"/>
        <v>12901.3</v>
      </c>
      <c r="AM87" s="210">
        <f t="shared" si="107"/>
        <v>4581.6000000000004</v>
      </c>
      <c r="AN87" s="210">
        <f t="shared" si="107"/>
        <v>1159.8000000000002</v>
      </c>
      <c r="AO87" s="210">
        <f t="shared" si="107"/>
        <v>0</v>
      </c>
      <c r="AP87" s="210">
        <f t="shared" si="107"/>
        <v>0</v>
      </c>
      <c r="AQ87" s="210">
        <f t="shared" si="107"/>
        <v>135458.6</v>
      </c>
      <c r="AR87" s="210">
        <f t="shared" si="107"/>
        <v>1278</v>
      </c>
      <c r="AS87" s="210">
        <f t="shared" si="107"/>
        <v>0</v>
      </c>
      <c r="AT87" s="210">
        <f t="shared" si="107"/>
        <v>124074.6</v>
      </c>
      <c r="AU87" s="210">
        <f t="shared" si="107"/>
        <v>12901.3</v>
      </c>
      <c r="AV87" s="210">
        <f t="shared" si="107"/>
        <v>0</v>
      </c>
      <c r="AW87" s="210">
        <f>SUM(AW44:AW86)</f>
        <v>132541.4</v>
      </c>
      <c r="AX87" s="210">
        <f>SUM(AX44:AX86)</f>
        <v>22000</v>
      </c>
      <c r="AY87" s="661"/>
      <c r="AZ87" s="661"/>
      <c r="BA87" s="661"/>
    </row>
    <row r="88" spans="2:53" s="76" customFormat="1" ht="33">
      <c r="B88" s="703"/>
      <c r="C88" s="216" t="s">
        <v>1737</v>
      </c>
      <c r="D88" s="217"/>
      <c r="E88" s="218"/>
      <c r="F88" s="218"/>
      <c r="G88" s="218"/>
      <c r="H88" s="745"/>
      <c r="I88" s="218"/>
      <c r="J88" s="745"/>
      <c r="K88" s="218"/>
      <c r="L88" s="218"/>
      <c r="M88" s="745"/>
      <c r="N88" s="218"/>
      <c r="O88" s="745"/>
      <c r="P88" s="218"/>
      <c r="Q88" s="218"/>
      <c r="R88" s="218"/>
      <c r="S88" s="218"/>
      <c r="T88" s="218"/>
      <c r="U88" s="218"/>
      <c r="V88" s="746"/>
      <c r="W88" s="218"/>
      <c r="X88" s="746"/>
      <c r="Y88" s="746"/>
      <c r="Z88" s="218"/>
      <c r="AA88" s="218"/>
      <c r="AB88" s="799"/>
      <c r="AC88" s="219"/>
      <c r="AD88" s="219"/>
      <c r="AE88" s="219"/>
      <c r="AF88" s="219"/>
      <c r="AG88" s="219"/>
      <c r="AH88" s="219"/>
      <c r="AI88" s="203"/>
      <c r="AJ88" s="203"/>
      <c r="AK88" s="203"/>
      <c r="AL88" s="203"/>
      <c r="AM88" s="203"/>
      <c r="AN88" s="203"/>
      <c r="AO88" s="205"/>
      <c r="AP88" s="205"/>
      <c r="AQ88" s="205"/>
      <c r="AR88" s="205"/>
      <c r="AS88" s="205"/>
      <c r="AT88" s="209"/>
      <c r="AU88" s="209"/>
      <c r="AV88" s="203"/>
      <c r="AW88" s="251"/>
      <c r="AX88" s="251"/>
      <c r="AY88" s="661"/>
      <c r="AZ88" s="661"/>
      <c r="BA88" s="661"/>
    </row>
    <row r="89" spans="2:53" s="76" customFormat="1" ht="33">
      <c r="B89" s="703"/>
      <c r="C89" s="220" t="s">
        <v>1382</v>
      </c>
      <c r="D89" s="217"/>
      <c r="E89" s="218"/>
      <c r="F89" s="218"/>
      <c r="G89" s="218"/>
      <c r="H89" s="745"/>
      <c r="I89" s="218"/>
      <c r="J89" s="745"/>
      <c r="K89" s="218"/>
      <c r="L89" s="218"/>
      <c r="M89" s="745"/>
      <c r="N89" s="218"/>
      <c r="O89" s="745"/>
      <c r="P89" s="218"/>
      <c r="Q89" s="218"/>
      <c r="R89" s="218"/>
      <c r="S89" s="218"/>
      <c r="T89" s="218"/>
      <c r="U89" s="218"/>
      <c r="V89" s="746"/>
      <c r="W89" s="218"/>
      <c r="X89" s="746"/>
      <c r="Y89" s="746"/>
      <c r="Z89" s="218"/>
      <c r="AA89" s="218"/>
      <c r="AB89" s="799"/>
      <c r="AC89" s="219"/>
      <c r="AD89" s="219"/>
      <c r="AE89" s="219"/>
      <c r="AF89" s="219"/>
      <c r="AG89" s="219"/>
      <c r="AH89" s="219"/>
      <c r="AI89" s="203"/>
      <c r="AJ89" s="203"/>
      <c r="AK89" s="203"/>
      <c r="AL89" s="203"/>
      <c r="AM89" s="203"/>
      <c r="AN89" s="203"/>
      <c r="AO89" s="205"/>
      <c r="AP89" s="205"/>
      <c r="AQ89" s="205"/>
      <c r="AR89" s="205"/>
      <c r="AS89" s="205"/>
      <c r="AT89" s="209"/>
      <c r="AU89" s="209"/>
      <c r="AV89" s="203"/>
      <c r="AW89" s="251"/>
      <c r="AX89" s="251"/>
      <c r="AY89" s="661"/>
      <c r="AZ89" s="661"/>
      <c r="BA89" s="661"/>
    </row>
    <row r="90" spans="2:53" s="76" customFormat="1" ht="87.75">
      <c r="B90" s="703">
        <f>B86+1</f>
        <v>61</v>
      </c>
      <c r="C90" s="197" t="s">
        <v>1739</v>
      </c>
      <c r="D90" s="198" t="s">
        <v>151</v>
      </c>
      <c r="E90" s="703" t="s">
        <v>1740</v>
      </c>
      <c r="F90" s="703">
        <v>12</v>
      </c>
      <c r="G90" s="199">
        <v>6773</v>
      </c>
      <c r="H90" s="736"/>
      <c r="I90" s="199"/>
      <c r="J90" s="737">
        <v>0.1</v>
      </c>
      <c r="K90" s="204">
        <f>(G90+I90)*J90</f>
        <v>677.30000000000007</v>
      </c>
      <c r="L90" s="199"/>
      <c r="M90" s="736"/>
      <c r="N90" s="199"/>
      <c r="O90" s="736"/>
      <c r="P90" s="199"/>
      <c r="Q90" s="199"/>
      <c r="R90" s="199">
        <f t="shared" ref="R90:R110" si="108">G90+I90+K90+L90+N90+P90+Q90</f>
        <v>7450.3</v>
      </c>
      <c r="S90" s="199">
        <v>1</v>
      </c>
      <c r="T90" s="199"/>
      <c r="U90" s="199"/>
      <c r="V90" s="736"/>
      <c r="W90" s="199"/>
      <c r="X90" s="849">
        <v>18</v>
      </c>
      <c r="Y90" s="737">
        <v>0.2</v>
      </c>
      <c r="Z90" s="206">
        <f t="shared" ref="Z90:Z112" si="109">R90*Y90</f>
        <v>1490.0600000000002</v>
      </c>
      <c r="AA90" s="199"/>
      <c r="AB90" s="796">
        <f>(R90+Z90)*S90</f>
        <v>8940.36</v>
      </c>
      <c r="AC90" s="738">
        <f t="shared" ref="AC90:AC112" si="110">AF90</f>
        <v>11059.64</v>
      </c>
      <c r="AD90" s="738">
        <f t="shared" ref="AD90:AD112" si="111">AB90+AC90</f>
        <v>20000</v>
      </c>
      <c r="AE90" s="202">
        <f>20000*S90</f>
        <v>20000</v>
      </c>
      <c r="AF90" s="202">
        <f t="shared" ref="AF90:AF111" si="112">AE90-AB90</f>
        <v>11059.64</v>
      </c>
      <c r="AG90" s="738">
        <f t="shared" ref="AG90:AG97" si="113">8000*S90</f>
        <v>8000</v>
      </c>
      <c r="AH90" s="202">
        <f>AB90-AG90</f>
        <v>940.36000000000058</v>
      </c>
      <c r="AI90" s="203">
        <f t="shared" ref="AI90:AI97" si="114">G90*S90</f>
        <v>6773</v>
      </c>
      <c r="AJ90" s="203">
        <f t="shared" ref="AJ90:AJ111" si="115">G90*T90</f>
        <v>0</v>
      </c>
      <c r="AK90" s="203">
        <f t="shared" ref="AK90:AK108" si="116">R90*S90</f>
        <v>7450.3</v>
      </c>
      <c r="AL90" s="203">
        <f>R90*T90</f>
        <v>0</v>
      </c>
      <c r="AM90" s="203">
        <f t="shared" ref="AM90:AN111" si="117">AK90-AI90</f>
        <v>677.30000000000018</v>
      </c>
      <c r="AN90" s="203">
        <f t="shared" si="117"/>
        <v>0</v>
      </c>
      <c r="AO90" s="205">
        <f t="shared" ref="AO90:AO111" si="118">Z90*S90</f>
        <v>1490.0600000000002</v>
      </c>
      <c r="AP90" s="205">
        <f t="shared" ref="AP90:AP111" si="119">Z90*T90</f>
        <v>0</v>
      </c>
      <c r="AQ90" s="205">
        <f t="shared" ref="AQ90:AQ111" si="120">AA90</f>
        <v>0</v>
      </c>
      <c r="AR90" s="205">
        <f t="shared" ref="AR90:AR111" si="121">W90*S90</f>
        <v>0</v>
      </c>
      <c r="AS90" s="205">
        <f t="shared" ref="AS90:AS111" si="122">W90*T90</f>
        <v>0</v>
      </c>
      <c r="AT90" s="209">
        <f t="shared" si="106"/>
        <v>7450.3</v>
      </c>
      <c r="AU90" s="209">
        <f t="shared" si="106"/>
        <v>0</v>
      </c>
      <c r="AV90" s="203"/>
      <c r="AW90" s="251">
        <f t="shared" ref="AW90:AW97" si="123">R90*S90</f>
        <v>7450.3</v>
      </c>
      <c r="AX90" s="251"/>
      <c r="AY90" s="661"/>
      <c r="AZ90" s="661"/>
      <c r="BA90" s="661"/>
    </row>
    <row r="91" spans="2:53" s="76" customFormat="1" ht="58.5">
      <c r="B91" s="703">
        <f t="shared" si="105"/>
        <v>62</v>
      </c>
      <c r="C91" s="197" t="s">
        <v>1739</v>
      </c>
      <c r="D91" s="198" t="s">
        <v>1345</v>
      </c>
      <c r="E91" s="703" t="s">
        <v>1346</v>
      </c>
      <c r="F91" s="703">
        <v>14</v>
      </c>
      <c r="G91" s="199">
        <v>7732</v>
      </c>
      <c r="H91" s="736"/>
      <c r="I91" s="199"/>
      <c r="J91" s="737">
        <v>0.1</v>
      </c>
      <c r="K91" s="204">
        <f>(G91+I91)*J91</f>
        <v>773.2</v>
      </c>
      <c r="L91" s="199"/>
      <c r="M91" s="736"/>
      <c r="N91" s="199"/>
      <c r="O91" s="736"/>
      <c r="P91" s="199"/>
      <c r="Q91" s="199"/>
      <c r="R91" s="199">
        <f t="shared" si="108"/>
        <v>8505.2000000000007</v>
      </c>
      <c r="S91" s="199">
        <v>1</v>
      </c>
      <c r="T91" s="199"/>
      <c r="U91" s="199"/>
      <c r="V91" s="736"/>
      <c r="W91" s="199"/>
      <c r="X91" s="849">
        <v>15</v>
      </c>
      <c r="Y91" s="737">
        <v>0.2</v>
      </c>
      <c r="Z91" s="199">
        <f t="shared" si="109"/>
        <v>1701.0400000000002</v>
      </c>
      <c r="AA91" s="199"/>
      <c r="AB91" s="796">
        <f>(R91+Z91)*S91</f>
        <v>10206.240000000002</v>
      </c>
      <c r="AC91" s="738">
        <f t="shared" si="110"/>
        <v>9793.7599999999984</v>
      </c>
      <c r="AD91" s="738">
        <f t="shared" si="111"/>
        <v>20000</v>
      </c>
      <c r="AE91" s="202">
        <f t="shared" ref="AE91:AE96" si="124">20000*S91</f>
        <v>20000</v>
      </c>
      <c r="AF91" s="202">
        <f t="shared" si="112"/>
        <v>9793.7599999999984</v>
      </c>
      <c r="AG91" s="738">
        <f t="shared" si="113"/>
        <v>8000</v>
      </c>
      <c r="AH91" s="202">
        <f>AB91-AG91</f>
        <v>2206.2400000000016</v>
      </c>
      <c r="AI91" s="203">
        <f t="shared" si="114"/>
        <v>7732</v>
      </c>
      <c r="AJ91" s="203">
        <f t="shared" si="115"/>
        <v>0</v>
      </c>
      <c r="AK91" s="203">
        <f t="shared" si="116"/>
        <v>8505.2000000000007</v>
      </c>
      <c r="AL91" s="203">
        <f t="shared" ref="AL91:AL99" si="125">R91*T91</f>
        <v>0</v>
      </c>
      <c r="AM91" s="203">
        <f t="shared" si="117"/>
        <v>773.20000000000073</v>
      </c>
      <c r="AN91" s="203">
        <f t="shared" si="117"/>
        <v>0</v>
      </c>
      <c r="AO91" s="205">
        <f t="shared" si="118"/>
        <v>1701.0400000000002</v>
      </c>
      <c r="AP91" s="205">
        <f t="shared" si="119"/>
        <v>0</v>
      </c>
      <c r="AQ91" s="205">
        <f t="shared" si="120"/>
        <v>0</v>
      </c>
      <c r="AR91" s="205">
        <f t="shared" si="121"/>
        <v>0</v>
      </c>
      <c r="AS91" s="205">
        <f t="shared" si="122"/>
        <v>0</v>
      </c>
      <c r="AT91" s="209">
        <f t="shared" si="106"/>
        <v>8505.2000000000007</v>
      </c>
      <c r="AU91" s="209">
        <f t="shared" si="106"/>
        <v>0</v>
      </c>
      <c r="AV91" s="203"/>
      <c r="AW91" s="251">
        <f t="shared" si="123"/>
        <v>8505.2000000000007</v>
      </c>
      <c r="AX91" s="251"/>
      <c r="AY91" s="661"/>
      <c r="AZ91" s="661"/>
      <c r="BA91" s="661"/>
    </row>
    <row r="92" spans="2:53" s="76" customFormat="1" ht="87.75">
      <c r="B92" s="703">
        <f t="shared" si="105"/>
        <v>63</v>
      </c>
      <c r="C92" s="197" t="s">
        <v>1007</v>
      </c>
      <c r="D92" s="198" t="s">
        <v>1349</v>
      </c>
      <c r="E92" s="703" t="s">
        <v>1008</v>
      </c>
      <c r="F92" s="703">
        <v>13</v>
      </c>
      <c r="G92" s="199">
        <v>7253</v>
      </c>
      <c r="H92" s="736"/>
      <c r="I92" s="199"/>
      <c r="J92" s="737">
        <v>0.15</v>
      </c>
      <c r="K92" s="204">
        <f>(G92+I92)*J92</f>
        <v>1087.95</v>
      </c>
      <c r="L92" s="199"/>
      <c r="M92" s="736"/>
      <c r="N92" s="199"/>
      <c r="O92" s="736"/>
      <c r="P92" s="199"/>
      <c r="Q92" s="199"/>
      <c r="R92" s="199">
        <f t="shared" si="108"/>
        <v>8340.9500000000007</v>
      </c>
      <c r="S92" s="199">
        <v>1</v>
      </c>
      <c r="T92" s="199"/>
      <c r="U92" s="199"/>
      <c r="V92" s="736"/>
      <c r="W92" s="199"/>
      <c r="X92" s="849">
        <v>22</v>
      </c>
      <c r="Y92" s="737">
        <v>0.3</v>
      </c>
      <c r="Z92" s="199">
        <f t="shared" si="109"/>
        <v>2502.2850000000003</v>
      </c>
      <c r="AA92" s="199"/>
      <c r="AB92" s="796">
        <f>(R92+Z92)*S92</f>
        <v>10843.235000000001</v>
      </c>
      <c r="AC92" s="738">
        <f t="shared" si="110"/>
        <v>9156.7649999999994</v>
      </c>
      <c r="AD92" s="738">
        <f t="shared" si="111"/>
        <v>20000</v>
      </c>
      <c r="AE92" s="202">
        <f t="shared" si="124"/>
        <v>20000</v>
      </c>
      <c r="AF92" s="202">
        <f t="shared" si="112"/>
        <v>9156.7649999999994</v>
      </c>
      <c r="AG92" s="738">
        <f t="shared" si="113"/>
        <v>8000</v>
      </c>
      <c r="AH92" s="202">
        <f>AB92-AG92</f>
        <v>2843.2350000000006</v>
      </c>
      <c r="AI92" s="203">
        <f t="shared" si="114"/>
        <v>7253</v>
      </c>
      <c r="AJ92" s="203">
        <f t="shared" si="115"/>
        <v>0</v>
      </c>
      <c r="AK92" s="203">
        <f t="shared" si="116"/>
        <v>8340.9500000000007</v>
      </c>
      <c r="AL92" s="203">
        <f t="shared" si="125"/>
        <v>0</v>
      </c>
      <c r="AM92" s="203">
        <f t="shared" si="117"/>
        <v>1087.9500000000007</v>
      </c>
      <c r="AN92" s="203">
        <f t="shared" si="117"/>
        <v>0</v>
      </c>
      <c r="AO92" s="205">
        <f t="shared" si="118"/>
        <v>2502.2850000000003</v>
      </c>
      <c r="AP92" s="205">
        <f t="shared" si="119"/>
        <v>0</v>
      </c>
      <c r="AQ92" s="205">
        <f t="shared" si="120"/>
        <v>0</v>
      </c>
      <c r="AR92" s="205">
        <f t="shared" si="121"/>
        <v>0</v>
      </c>
      <c r="AS92" s="205">
        <f t="shared" si="122"/>
        <v>0</v>
      </c>
      <c r="AT92" s="209">
        <f t="shared" si="106"/>
        <v>8340.9500000000007</v>
      </c>
      <c r="AU92" s="209">
        <f t="shared" si="106"/>
        <v>0</v>
      </c>
      <c r="AV92" s="203"/>
      <c r="AW92" s="251">
        <f t="shared" si="123"/>
        <v>8340.9500000000007</v>
      </c>
      <c r="AX92" s="251"/>
      <c r="AY92" s="661"/>
      <c r="AZ92" s="661"/>
      <c r="BA92" s="661"/>
    </row>
    <row r="93" spans="2:53" s="76" customFormat="1" ht="58.5">
      <c r="B93" s="703">
        <f t="shared" si="105"/>
        <v>64</v>
      </c>
      <c r="C93" s="197" t="s">
        <v>1011</v>
      </c>
      <c r="D93" s="198" t="s">
        <v>1858</v>
      </c>
      <c r="E93" s="703" t="s">
        <v>1012</v>
      </c>
      <c r="F93" s="703">
        <v>13</v>
      </c>
      <c r="G93" s="199">
        <v>7253</v>
      </c>
      <c r="H93" s="718"/>
      <c r="I93" s="703"/>
      <c r="J93" s="718"/>
      <c r="K93" s="703"/>
      <c r="L93" s="703"/>
      <c r="M93" s="718"/>
      <c r="N93" s="199"/>
      <c r="O93" s="737">
        <v>0.25</v>
      </c>
      <c r="P93" s="204">
        <f>G93*O93</f>
        <v>1813.25</v>
      </c>
      <c r="Q93" s="201"/>
      <c r="R93" s="199">
        <f t="shared" si="108"/>
        <v>9066.25</v>
      </c>
      <c r="S93" s="199">
        <v>1</v>
      </c>
      <c r="T93" s="199"/>
      <c r="U93" s="194"/>
      <c r="V93" s="737"/>
      <c r="W93" s="194"/>
      <c r="X93" s="731">
        <v>34</v>
      </c>
      <c r="Y93" s="737">
        <v>0.3</v>
      </c>
      <c r="Z93" s="199">
        <f t="shared" si="109"/>
        <v>2719.875</v>
      </c>
      <c r="AA93" s="199"/>
      <c r="AB93" s="796">
        <f>(R93+Z93)*S93</f>
        <v>11786.125</v>
      </c>
      <c r="AC93" s="738">
        <f t="shared" si="110"/>
        <v>8213.875</v>
      </c>
      <c r="AD93" s="738">
        <f t="shared" si="111"/>
        <v>20000</v>
      </c>
      <c r="AE93" s="202">
        <f t="shared" si="124"/>
        <v>20000</v>
      </c>
      <c r="AF93" s="202">
        <f t="shared" si="112"/>
        <v>8213.875</v>
      </c>
      <c r="AG93" s="738">
        <f t="shared" si="113"/>
        <v>8000</v>
      </c>
      <c r="AH93" s="202">
        <f>AB93-AG93</f>
        <v>3786.125</v>
      </c>
      <c r="AI93" s="203">
        <f t="shared" si="114"/>
        <v>7253</v>
      </c>
      <c r="AJ93" s="203">
        <f t="shared" si="115"/>
        <v>0</v>
      </c>
      <c r="AK93" s="203">
        <f t="shared" si="116"/>
        <v>9066.25</v>
      </c>
      <c r="AL93" s="203">
        <f t="shared" si="125"/>
        <v>0</v>
      </c>
      <c r="AM93" s="203">
        <f t="shared" si="117"/>
        <v>1813.25</v>
      </c>
      <c r="AN93" s="203">
        <f t="shared" si="117"/>
        <v>0</v>
      </c>
      <c r="AO93" s="205">
        <f t="shared" si="118"/>
        <v>2719.875</v>
      </c>
      <c r="AP93" s="205">
        <f t="shared" si="119"/>
        <v>0</v>
      </c>
      <c r="AQ93" s="205">
        <f t="shared" si="120"/>
        <v>0</v>
      </c>
      <c r="AR93" s="205">
        <f t="shared" si="121"/>
        <v>0</v>
      </c>
      <c r="AS93" s="205">
        <f t="shared" si="122"/>
        <v>0</v>
      </c>
      <c r="AT93" s="209">
        <f t="shared" si="106"/>
        <v>9066.25</v>
      </c>
      <c r="AU93" s="209">
        <f t="shared" si="106"/>
        <v>0</v>
      </c>
      <c r="AV93" s="203"/>
      <c r="AW93" s="251">
        <f t="shared" si="123"/>
        <v>9066.25</v>
      </c>
      <c r="AX93" s="251"/>
      <c r="AY93" s="661"/>
      <c r="AZ93" s="661"/>
      <c r="BA93" s="661"/>
    </row>
    <row r="94" spans="2:53" s="76" customFormat="1" ht="58.5">
      <c r="B94" s="703">
        <f t="shared" si="105"/>
        <v>65</v>
      </c>
      <c r="C94" s="197" t="s">
        <v>1013</v>
      </c>
      <c r="D94" s="198" t="s">
        <v>1350</v>
      </c>
      <c r="E94" s="851" t="s">
        <v>1351</v>
      </c>
      <c r="F94" s="703">
        <v>10</v>
      </c>
      <c r="G94" s="199">
        <v>5815</v>
      </c>
      <c r="H94" s="736"/>
      <c r="I94" s="199"/>
      <c r="J94" s="736"/>
      <c r="K94" s="199"/>
      <c r="L94" s="199"/>
      <c r="M94" s="736"/>
      <c r="N94" s="199"/>
      <c r="O94" s="736"/>
      <c r="P94" s="199"/>
      <c r="Q94" s="199"/>
      <c r="R94" s="199">
        <f t="shared" si="108"/>
        <v>5815</v>
      </c>
      <c r="S94" s="199">
        <v>1</v>
      </c>
      <c r="T94" s="199"/>
      <c r="U94" s="199"/>
      <c r="V94" s="736"/>
      <c r="W94" s="199"/>
      <c r="X94" s="718">
        <v>2</v>
      </c>
      <c r="Y94" s="737">
        <v>0</v>
      </c>
      <c r="Z94" s="199">
        <f t="shared" si="109"/>
        <v>0</v>
      </c>
      <c r="AA94" s="199">
        <f>AH94</f>
        <v>2185</v>
      </c>
      <c r="AB94" s="796">
        <f>(R94+Z94)*S94+AA94</f>
        <v>8000</v>
      </c>
      <c r="AC94" s="738">
        <f t="shared" si="110"/>
        <v>12000</v>
      </c>
      <c r="AD94" s="738">
        <f t="shared" si="111"/>
        <v>20000</v>
      </c>
      <c r="AE94" s="202">
        <f t="shared" si="124"/>
        <v>20000</v>
      </c>
      <c r="AF94" s="202">
        <f t="shared" si="112"/>
        <v>12000</v>
      </c>
      <c r="AG94" s="738">
        <f t="shared" si="113"/>
        <v>8000</v>
      </c>
      <c r="AH94" s="202">
        <f>AG94-(R94*S94)</f>
        <v>2185</v>
      </c>
      <c r="AI94" s="203">
        <f t="shared" si="114"/>
        <v>5815</v>
      </c>
      <c r="AJ94" s="203">
        <f t="shared" si="115"/>
        <v>0</v>
      </c>
      <c r="AK94" s="203">
        <f>R94*S94</f>
        <v>5815</v>
      </c>
      <c r="AL94" s="203">
        <f t="shared" si="125"/>
        <v>0</v>
      </c>
      <c r="AM94" s="203">
        <f>AK94-AI94</f>
        <v>0</v>
      </c>
      <c r="AN94" s="203">
        <f>AL94-AJ94</f>
        <v>0</v>
      </c>
      <c r="AO94" s="205">
        <f>Z94*S94</f>
        <v>0</v>
      </c>
      <c r="AP94" s="205">
        <f>Z94*T94</f>
        <v>0</v>
      </c>
      <c r="AQ94" s="205">
        <f>AA94</f>
        <v>2185</v>
      </c>
      <c r="AR94" s="205">
        <f>W94*S94</f>
        <v>0</v>
      </c>
      <c r="AS94" s="205">
        <f>W94*T94</f>
        <v>0</v>
      </c>
      <c r="AT94" s="209">
        <f t="shared" si="106"/>
        <v>5815</v>
      </c>
      <c r="AU94" s="209">
        <f t="shared" si="106"/>
        <v>0</v>
      </c>
      <c r="AV94" s="203"/>
      <c r="AW94" s="251">
        <f t="shared" si="123"/>
        <v>5815</v>
      </c>
      <c r="AX94" s="251"/>
      <c r="AY94" s="661"/>
      <c r="AZ94" s="661"/>
      <c r="BA94" s="661"/>
    </row>
    <row r="95" spans="2:53" s="78" customFormat="1" ht="58.5">
      <c r="B95" s="703">
        <f t="shared" si="105"/>
        <v>66</v>
      </c>
      <c r="C95" s="197" t="s">
        <v>1013</v>
      </c>
      <c r="D95" s="198" t="s">
        <v>1762</v>
      </c>
      <c r="E95" s="851" t="s">
        <v>1763</v>
      </c>
      <c r="F95" s="703">
        <v>10</v>
      </c>
      <c r="G95" s="199">
        <v>5815</v>
      </c>
      <c r="H95" s="736"/>
      <c r="I95" s="199"/>
      <c r="J95" s="736"/>
      <c r="K95" s="199"/>
      <c r="L95" s="199"/>
      <c r="M95" s="736"/>
      <c r="N95" s="199"/>
      <c r="O95" s="736"/>
      <c r="P95" s="199"/>
      <c r="Q95" s="199"/>
      <c r="R95" s="199">
        <f t="shared" si="108"/>
        <v>5815</v>
      </c>
      <c r="S95" s="199">
        <v>1</v>
      </c>
      <c r="T95" s="199"/>
      <c r="U95" s="199"/>
      <c r="V95" s="736"/>
      <c r="W95" s="199"/>
      <c r="X95" s="718">
        <v>2</v>
      </c>
      <c r="Y95" s="737">
        <v>0</v>
      </c>
      <c r="Z95" s="199">
        <f t="shared" si="109"/>
        <v>0</v>
      </c>
      <c r="AA95" s="199">
        <f>AH95</f>
        <v>2185</v>
      </c>
      <c r="AB95" s="796">
        <f>(R95+Z95)*S95+AA95</f>
        <v>8000</v>
      </c>
      <c r="AC95" s="738">
        <f t="shared" si="110"/>
        <v>12000</v>
      </c>
      <c r="AD95" s="738">
        <f t="shared" si="111"/>
        <v>20000</v>
      </c>
      <c r="AE95" s="202">
        <f t="shared" si="124"/>
        <v>20000</v>
      </c>
      <c r="AF95" s="202">
        <f t="shared" si="112"/>
        <v>12000</v>
      </c>
      <c r="AG95" s="738">
        <f t="shared" si="113"/>
        <v>8000</v>
      </c>
      <c r="AH95" s="202">
        <f>AG95-(R95*S95)</f>
        <v>2185</v>
      </c>
      <c r="AI95" s="203">
        <f t="shared" si="114"/>
        <v>5815</v>
      </c>
      <c r="AJ95" s="203">
        <f t="shared" si="115"/>
        <v>0</v>
      </c>
      <c r="AK95" s="203">
        <f t="shared" si="116"/>
        <v>5815</v>
      </c>
      <c r="AL95" s="203">
        <f t="shared" si="125"/>
        <v>0</v>
      </c>
      <c r="AM95" s="203">
        <f t="shared" si="117"/>
        <v>0</v>
      </c>
      <c r="AN95" s="203">
        <f t="shared" si="117"/>
        <v>0</v>
      </c>
      <c r="AO95" s="205">
        <f t="shared" si="118"/>
        <v>0</v>
      </c>
      <c r="AP95" s="205">
        <f t="shared" si="119"/>
        <v>0</v>
      </c>
      <c r="AQ95" s="205">
        <f t="shared" si="120"/>
        <v>2185</v>
      </c>
      <c r="AR95" s="205">
        <f t="shared" si="121"/>
        <v>0</v>
      </c>
      <c r="AS95" s="205">
        <f t="shared" si="122"/>
        <v>0</v>
      </c>
      <c r="AT95" s="209">
        <f t="shared" si="106"/>
        <v>5815</v>
      </c>
      <c r="AU95" s="209">
        <f t="shared" si="106"/>
        <v>0</v>
      </c>
      <c r="AV95" s="203"/>
      <c r="AW95" s="251">
        <f t="shared" si="123"/>
        <v>5815</v>
      </c>
      <c r="AX95" s="251"/>
      <c r="AY95" s="661"/>
      <c r="AZ95" s="661"/>
      <c r="BA95" s="661"/>
    </row>
    <row r="96" spans="2:53" s="78" customFormat="1" ht="58.5">
      <c r="B96" s="703">
        <f t="shared" si="105"/>
        <v>67</v>
      </c>
      <c r="C96" s="197" t="s">
        <v>1014</v>
      </c>
      <c r="D96" s="198" t="s">
        <v>152</v>
      </c>
      <c r="E96" s="703" t="s">
        <v>1738</v>
      </c>
      <c r="F96" s="703">
        <v>13</v>
      </c>
      <c r="G96" s="199">
        <v>7253</v>
      </c>
      <c r="H96" s="718"/>
      <c r="I96" s="703"/>
      <c r="J96" s="736"/>
      <c r="K96" s="199"/>
      <c r="L96" s="703"/>
      <c r="M96" s="718"/>
      <c r="N96" s="199"/>
      <c r="O96" s="718"/>
      <c r="P96" s="703"/>
      <c r="Q96" s="703"/>
      <c r="R96" s="199">
        <f t="shared" si="108"/>
        <v>7253</v>
      </c>
      <c r="S96" s="199">
        <v>1</v>
      </c>
      <c r="T96" s="199"/>
      <c r="U96" s="703"/>
      <c r="V96" s="718"/>
      <c r="W96" s="703"/>
      <c r="X96" s="718">
        <v>38</v>
      </c>
      <c r="Y96" s="737">
        <v>0.3</v>
      </c>
      <c r="Z96" s="199">
        <f t="shared" si="109"/>
        <v>2175.9</v>
      </c>
      <c r="AA96" s="199"/>
      <c r="AB96" s="796">
        <f>(R96+Z96)*S96+AA96</f>
        <v>9428.9</v>
      </c>
      <c r="AC96" s="738">
        <f t="shared" si="110"/>
        <v>10571.1</v>
      </c>
      <c r="AD96" s="738">
        <f t="shared" si="111"/>
        <v>20000</v>
      </c>
      <c r="AE96" s="202">
        <f t="shared" si="124"/>
        <v>20000</v>
      </c>
      <c r="AF96" s="202">
        <f t="shared" si="112"/>
        <v>10571.1</v>
      </c>
      <c r="AG96" s="738">
        <f t="shared" si="113"/>
        <v>8000</v>
      </c>
      <c r="AH96" s="202">
        <f>AB96-AG96</f>
        <v>1428.8999999999996</v>
      </c>
      <c r="AI96" s="203">
        <f t="shared" si="114"/>
        <v>7253</v>
      </c>
      <c r="AJ96" s="203">
        <f>G96*T96</f>
        <v>0</v>
      </c>
      <c r="AK96" s="203">
        <f t="shared" si="116"/>
        <v>7253</v>
      </c>
      <c r="AL96" s="203">
        <f t="shared" si="125"/>
        <v>0</v>
      </c>
      <c r="AM96" s="203">
        <f t="shared" si="117"/>
        <v>0</v>
      </c>
      <c r="AN96" s="203">
        <f t="shared" si="117"/>
        <v>0</v>
      </c>
      <c r="AO96" s="205">
        <f t="shared" si="118"/>
        <v>2175.9</v>
      </c>
      <c r="AP96" s="205">
        <f t="shared" si="119"/>
        <v>0</v>
      </c>
      <c r="AQ96" s="205">
        <f t="shared" si="120"/>
        <v>0</v>
      </c>
      <c r="AR96" s="205">
        <f t="shared" si="121"/>
        <v>0</v>
      </c>
      <c r="AS96" s="205">
        <f t="shared" si="122"/>
        <v>0</v>
      </c>
      <c r="AT96" s="209">
        <f t="shared" si="106"/>
        <v>7253</v>
      </c>
      <c r="AU96" s="209">
        <f t="shared" si="106"/>
        <v>0</v>
      </c>
      <c r="AV96" s="203"/>
      <c r="AW96" s="251">
        <f t="shared" si="123"/>
        <v>7253</v>
      </c>
      <c r="AX96" s="251"/>
      <c r="AY96" s="661"/>
      <c r="AZ96" s="661"/>
      <c r="BA96" s="661"/>
    </row>
    <row r="97" spans="2:53" s="76" customFormat="1" ht="58.5">
      <c r="B97" s="703">
        <f t="shared" si="105"/>
        <v>68</v>
      </c>
      <c r="C97" s="197" t="s">
        <v>1017</v>
      </c>
      <c r="D97" s="198" t="s">
        <v>1352</v>
      </c>
      <c r="E97" s="703" t="s">
        <v>1018</v>
      </c>
      <c r="F97" s="703">
        <v>10</v>
      </c>
      <c r="G97" s="199">
        <v>5815</v>
      </c>
      <c r="H97" s="718"/>
      <c r="I97" s="703"/>
      <c r="J97" s="718"/>
      <c r="K97" s="703"/>
      <c r="L97" s="703"/>
      <c r="M97" s="718"/>
      <c r="N97" s="199"/>
      <c r="O97" s="737">
        <v>0.15</v>
      </c>
      <c r="P97" s="204">
        <f>G97*O97</f>
        <v>872.25</v>
      </c>
      <c r="Q97" s="201"/>
      <c r="R97" s="199">
        <f t="shared" si="108"/>
        <v>6687.25</v>
      </c>
      <c r="S97" s="199">
        <v>0.75</v>
      </c>
      <c r="T97" s="199"/>
      <c r="U97" s="194"/>
      <c r="V97" s="737"/>
      <c r="W97" s="194"/>
      <c r="X97" s="731">
        <v>10</v>
      </c>
      <c r="Y97" s="737">
        <v>0.2</v>
      </c>
      <c r="Z97" s="199">
        <f t="shared" si="109"/>
        <v>1337.45</v>
      </c>
      <c r="AA97" s="199"/>
      <c r="AB97" s="796">
        <f>(R97+Z97)*S97+AA97</f>
        <v>6018.5249999999996</v>
      </c>
      <c r="AC97" s="738">
        <f>AF97</f>
        <v>8981.4750000000004</v>
      </c>
      <c r="AD97" s="738">
        <f>AB97+AC97</f>
        <v>15000</v>
      </c>
      <c r="AE97" s="202">
        <f>20000*S97</f>
        <v>15000</v>
      </c>
      <c r="AF97" s="202">
        <f>AE97-AB97</f>
        <v>8981.4750000000004</v>
      </c>
      <c r="AG97" s="738">
        <f t="shared" si="113"/>
        <v>6000</v>
      </c>
      <c r="AH97" s="202">
        <f>AG97-((R97+Z97)*S97)</f>
        <v>-18.524999999999636</v>
      </c>
      <c r="AI97" s="203">
        <f t="shared" si="114"/>
        <v>4361.25</v>
      </c>
      <c r="AJ97" s="203">
        <f>G97*T97</f>
        <v>0</v>
      </c>
      <c r="AK97" s="203">
        <f t="shared" si="116"/>
        <v>5015.4375</v>
      </c>
      <c r="AL97" s="203">
        <f t="shared" si="125"/>
        <v>0</v>
      </c>
      <c r="AM97" s="203">
        <f t="shared" si="117"/>
        <v>654.1875</v>
      </c>
      <c r="AN97" s="203">
        <f t="shared" si="117"/>
        <v>0</v>
      </c>
      <c r="AO97" s="205">
        <f t="shared" si="118"/>
        <v>1003.0875000000001</v>
      </c>
      <c r="AP97" s="205">
        <f t="shared" si="119"/>
        <v>0</v>
      </c>
      <c r="AQ97" s="205">
        <f t="shared" si="120"/>
        <v>0</v>
      </c>
      <c r="AR97" s="205">
        <f t="shared" si="121"/>
        <v>0</v>
      </c>
      <c r="AS97" s="205">
        <f t="shared" si="122"/>
        <v>0</v>
      </c>
      <c r="AT97" s="209">
        <f t="shared" si="106"/>
        <v>5015.4375</v>
      </c>
      <c r="AU97" s="209">
        <f t="shared" si="106"/>
        <v>0</v>
      </c>
      <c r="AV97" s="203"/>
      <c r="AW97" s="251">
        <f t="shared" si="123"/>
        <v>5015.4375</v>
      </c>
      <c r="AX97" s="251"/>
      <c r="AY97" s="661"/>
      <c r="AZ97" s="661"/>
      <c r="BA97" s="661"/>
    </row>
    <row r="98" spans="2:53" s="76" customFormat="1" ht="74.25" customHeight="1">
      <c r="B98" s="703">
        <f>1+B97</f>
        <v>69</v>
      </c>
      <c r="C98" s="197" t="s">
        <v>1017</v>
      </c>
      <c r="D98" s="198" t="s">
        <v>153</v>
      </c>
      <c r="E98" s="703" t="s">
        <v>1019</v>
      </c>
      <c r="F98" s="703">
        <v>12</v>
      </c>
      <c r="G98" s="199">
        <v>6773</v>
      </c>
      <c r="H98" s="718"/>
      <c r="I98" s="703"/>
      <c r="J98" s="718"/>
      <c r="K98" s="703"/>
      <c r="L98" s="703"/>
      <c r="M98" s="718"/>
      <c r="N98" s="199"/>
      <c r="O98" s="737">
        <v>0.15</v>
      </c>
      <c r="P98" s="204">
        <f>G98*O98</f>
        <v>1015.9499999999999</v>
      </c>
      <c r="Q98" s="201"/>
      <c r="R98" s="199">
        <f>G98+I98+K98+L98+N98+P98+Q98</f>
        <v>7788.95</v>
      </c>
      <c r="S98" s="199"/>
      <c r="T98" s="199">
        <v>0.5</v>
      </c>
      <c r="U98" s="194"/>
      <c r="V98" s="737"/>
      <c r="W98" s="194"/>
      <c r="X98" s="731">
        <v>16</v>
      </c>
      <c r="Y98" s="737">
        <v>0.2</v>
      </c>
      <c r="Z98" s="199">
        <f>R98*Y98</f>
        <v>1557.79</v>
      </c>
      <c r="AA98" s="204"/>
      <c r="AB98" s="796">
        <f>(R98+Z98)*T98+AA98</f>
        <v>4673.37</v>
      </c>
      <c r="AC98" s="738">
        <f t="shared" si="110"/>
        <v>5326.63</v>
      </c>
      <c r="AD98" s="738">
        <f t="shared" si="111"/>
        <v>10000</v>
      </c>
      <c r="AE98" s="202">
        <f>20000*T98</f>
        <v>10000</v>
      </c>
      <c r="AF98" s="202">
        <f t="shared" si="112"/>
        <v>5326.63</v>
      </c>
      <c r="AG98" s="738">
        <f>8000*T98</f>
        <v>4000</v>
      </c>
      <c r="AH98" s="202">
        <f>AG98-((R98+Z98)*T98)</f>
        <v>-673.36999999999989</v>
      </c>
      <c r="AI98" s="203">
        <f>G98*T98</f>
        <v>3386.5</v>
      </c>
      <c r="AJ98" s="203">
        <f>G98*T98</f>
        <v>3386.5</v>
      </c>
      <c r="AK98" s="203">
        <f>R98*T98</f>
        <v>3894.4749999999999</v>
      </c>
      <c r="AL98" s="203">
        <f t="shared" si="125"/>
        <v>3894.4749999999999</v>
      </c>
      <c r="AM98" s="203">
        <f t="shared" si="117"/>
        <v>507.97499999999991</v>
      </c>
      <c r="AN98" s="203">
        <f t="shared" si="117"/>
        <v>507.97499999999991</v>
      </c>
      <c r="AO98" s="205">
        <f>Z98*T98</f>
        <v>778.89499999999998</v>
      </c>
      <c r="AP98" s="205">
        <f t="shared" si="119"/>
        <v>778.89499999999998</v>
      </c>
      <c r="AQ98" s="205">
        <f>AA98</f>
        <v>0</v>
      </c>
      <c r="AR98" s="205">
        <f>W98*T98</f>
        <v>0</v>
      </c>
      <c r="AS98" s="205">
        <f t="shared" si="122"/>
        <v>0</v>
      </c>
      <c r="AT98" s="209">
        <f>AK98</f>
        <v>3894.4749999999999</v>
      </c>
      <c r="AU98" s="209">
        <f t="shared" si="106"/>
        <v>3894.4749999999999</v>
      </c>
      <c r="AV98" s="203"/>
      <c r="AW98" s="251">
        <f>R98*T98</f>
        <v>3894.4749999999999</v>
      </c>
      <c r="AX98" s="251"/>
      <c r="AY98" s="661"/>
      <c r="AZ98" s="661"/>
      <c r="BA98" s="661"/>
    </row>
    <row r="99" spans="2:53" s="76" customFormat="1" ht="74.25" customHeight="1">
      <c r="B99" s="703">
        <f t="shared" si="105"/>
        <v>70</v>
      </c>
      <c r="C99" s="197" t="s">
        <v>1017</v>
      </c>
      <c r="D99" s="198" t="s">
        <v>154</v>
      </c>
      <c r="E99" s="703" t="s">
        <v>1059</v>
      </c>
      <c r="F99" s="703">
        <v>10</v>
      </c>
      <c r="G99" s="199">
        <v>5815</v>
      </c>
      <c r="H99" s="718"/>
      <c r="I99" s="703"/>
      <c r="J99" s="718"/>
      <c r="K99" s="703"/>
      <c r="L99" s="703"/>
      <c r="M99" s="718"/>
      <c r="N99" s="199"/>
      <c r="O99" s="737">
        <v>0.15</v>
      </c>
      <c r="P99" s="204">
        <f>G99*O99</f>
        <v>872.25</v>
      </c>
      <c r="Q99" s="201"/>
      <c r="R99" s="199">
        <f>G99+I99+K99+L99+N99+P99+Q99</f>
        <v>6687.25</v>
      </c>
      <c r="S99" s="199"/>
      <c r="T99" s="199">
        <v>0.25</v>
      </c>
      <c r="U99" s="194"/>
      <c r="V99" s="737"/>
      <c r="W99" s="194"/>
      <c r="X99" s="731">
        <v>4</v>
      </c>
      <c r="Y99" s="737">
        <v>0.1</v>
      </c>
      <c r="Z99" s="199">
        <f>R99*Y99</f>
        <v>668.72500000000002</v>
      </c>
      <c r="AA99" s="204">
        <f>AH99</f>
        <v>161.00624999999991</v>
      </c>
      <c r="AB99" s="796">
        <f>(R99+Z99)*T99+AA99</f>
        <v>2000</v>
      </c>
      <c r="AC99" s="738">
        <f t="shared" si="110"/>
        <v>3000</v>
      </c>
      <c r="AD99" s="738">
        <f>AB99+AC99</f>
        <v>5000</v>
      </c>
      <c r="AE99" s="202">
        <f>20000*T99</f>
        <v>5000</v>
      </c>
      <c r="AF99" s="202">
        <f>AE99-AB99</f>
        <v>3000</v>
      </c>
      <c r="AG99" s="738">
        <f>8000*T99</f>
        <v>2000</v>
      </c>
      <c r="AH99" s="202">
        <f>AG99-((R99+Z99)*T99)</f>
        <v>161.00624999999991</v>
      </c>
      <c r="AI99" s="203">
        <f>G99*S99</f>
        <v>0</v>
      </c>
      <c r="AJ99" s="203">
        <f>G99*T99</f>
        <v>1453.75</v>
      </c>
      <c r="AK99" s="203">
        <f>R99*T99</f>
        <v>1671.8125</v>
      </c>
      <c r="AL99" s="203">
        <f t="shared" si="125"/>
        <v>1671.8125</v>
      </c>
      <c r="AM99" s="203"/>
      <c r="AN99" s="203"/>
      <c r="AO99" s="205"/>
      <c r="AP99" s="205"/>
      <c r="AQ99" s="205"/>
      <c r="AR99" s="205"/>
      <c r="AS99" s="205"/>
      <c r="AT99" s="209"/>
      <c r="AU99" s="209"/>
      <c r="AV99" s="203"/>
      <c r="AW99" s="251">
        <f>R99*T99</f>
        <v>1671.8125</v>
      </c>
      <c r="AX99" s="251"/>
      <c r="AY99" s="661"/>
      <c r="AZ99" s="661"/>
      <c r="BA99" s="661"/>
    </row>
    <row r="100" spans="2:53" s="76" customFormat="1" ht="58.5">
      <c r="B100" s="703">
        <f t="shared" si="105"/>
        <v>71</v>
      </c>
      <c r="C100" s="197" t="s">
        <v>1742</v>
      </c>
      <c r="D100" s="198" t="s">
        <v>1761</v>
      </c>
      <c r="E100" s="703" t="s">
        <v>1743</v>
      </c>
      <c r="F100" s="703">
        <v>13</v>
      </c>
      <c r="G100" s="199">
        <v>7253</v>
      </c>
      <c r="H100" s="718"/>
      <c r="I100" s="703"/>
      <c r="J100" s="718"/>
      <c r="K100" s="703"/>
      <c r="L100" s="703"/>
      <c r="M100" s="718"/>
      <c r="N100" s="199"/>
      <c r="O100" s="737">
        <v>0.15</v>
      </c>
      <c r="P100" s="204">
        <f>G100*O100</f>
        <v>1087.95</v>
      </c>
      <c r="Q100" s="201"/>
      <c r="R100" s="199">
        <f t="shared" si="108"/>
        <v>8340.9500000000007</v>
      </c>
      <c r="S100" s="199"/>
      <c r="T100" s="199">
        <v>0.25</v>
      </c>
      <c r="U100" s="194"/>
      <c r="V100" s="737"/>
      <c r="W100" s="194"/>
      <c r="X100" s="731">
        <v>25</v>
      </c>
      <c r="Y100" s="737">
        <v>0.3</v>
      </c>
      <c r="Z100" s="199">
        <f t="shared" si="109"/>
        <v>2502.2850000000003</v>
      </c>
      <c r="AA100" s="199"/>
      <c r="AB100" s="796">
        <f>(R100+Z100)*T100</f>
        <v>2710.8087500000001</v>
      </c>
      <c r="AC100" s="738">
        <f>AF100</f>
        <v>2289.1912499999999</v>
      </c>
      <c r="AD100" s="738">
        <f>AB100+AC100</f>
        <v>5000</v>
      </c>
      <c r="AE100" s="202">
        <f>20000*T100</f>
        <v>5000</v>
      </c>
      <c r="AF100" s="202">
        <f>AE100-AB100</f>
        <v>2289.1912499999999</v>
      </c>
      <c r="AG100" s="738">
        <f>8000*T100</f>
        <v>2000</v>
      </c>
      <c r="AH100" s="202">
        <f>AB100-AG100</f>
        <v>710.80875000000015</v>
      </c>
      <c r="AI100" s="203">
        <f>G100*T100</f>
        <v>1813.25</v>
      </c>
      <c r="AJ100" s="203">
        <f>G100*T100</f>
        <v>1813.25</v>
      </c>
      <c r="AK100" s="203">
        <f>R100*T100</f>
        <v>2085.2375000000002</v>
      </c>
      <c r="AL100" s="203">
        <f>R100*T100</f>
        <v>2085.2375000000002</v>
      </c>
      <c r="AM100" s="203">
        <f>AK100-AI100</f>
        <v>271.98750000000018</v>
      </c>
      <c r="AN100" s="203">
        <f>AL100-AJ100</f>
        <v>271.98750000000018</v>
      </c>
      <c r="AO100" s="205">
        <f>Z100*T100</f>
        <v>625.57125000000008</v>
      </c>
      <c r="AP100" s="205">
        <f>Z100*T100</f>
        <v>625.57125000000008</v>
      </c>
      <c r="AQ100" s="205">
        <f>AA100</f>
        <v>0</v>
      </c>
      <c r="AR100" s="205">
        <f>W100*T100</f>
        <v>0</v>
      </c>
      <c r="AS100" s="205">
        <f t="shared" si="122"/>
        <v>0</v>
      </c>
      <c r="AT100" s="209">
        <f>AK100</f>
        <v>2085.2375000000002</v>
      </c>
      <c r="AU100" s="209">
        <f>AL100</f>
        <v>2085.2375000000002</v>
      </c>
      <c r="AV100" s="203"/>
      <c r="AW100" s="251">
        <f>R100*T100</f>
        <v>2085.2375000000002</v>
      </c>
      <c r="AX100" s="251"/>
      <c r="AY100" s="661"/>
      <c r="AZ100" s="661"/>
      <c r="BA100" s="661"/>
    </row>
    <row r="101" spans="2:53" s="76" customFormat="1" ht="58.5">
      <c r="B101" s="703">
        <f t="shared" si="105"/>
        <v>72</v>
      </c>
      <c r="C101" s="197" t="s">
        <v>1744</v>
      </c>
      <c r="D101" s="198" t="s">
        <v>1745</v>
      </c>
      <c r="E101" s="703" t="s">
        <v>1746</v>
      </c>
      <c r="F101" s="703">
        <v>12</v>
      </c>
      <c r="G101" s="199">
        <v>6773</v>
      </c>
      <c r="H101" s="736"/>
      <c r="I101" s="199"/>
      <c r="J101" s="736"/>
      <c r="K101" s="199"/>
      <c r="L101" s="199"/>
      <c r="M101" s="736"/>
      <c r="N101" s="199"/>
      <c r="O101" s="736"/>
      <c r="P101" s="199"/>
      <c r="Q101" s="199"/>
      <c r="R101" s="199">
        <f t="shared" si="108"/>
        <v>6773</v>
      </c>
      <c r="S101" s="199"/>
      <c r="T101" s="199">
        <v>0.5</v>
      </c>
      <c r="U101" s="199"/>
      <c r="V101" s="736"/>
      <c r="W101" s="199"/>
      <c r="X101" s="741">
        <v>25</v>
      </c>
      <c r="Y101" s="737">
        <v>0.3</v>
      </c>
      <c r="Z101" s="199">
        <f t="shared" si="109"/>
        <v>2031.8999999999999</v>
      </c>
      <c r="AA101" s="199"/>
      <c r="AB101" s="796">
        <f>(R101+Z101)*T101+AA101</f>
        <v>4402.45</v>
      </c>
      <c r="AC101" s="738">
        <f>AF101</f>
        <v>5597.55</v>
      </c>
      <c r="AD101" s="738">
        <f>AB101+AC101</f>
        <v>10000</v>
      </c>
      <c r="AE101" s="202">
        <f>20000*T101</f>
        <v>10000</v>
      </c>
      <c r="AF101" s="202">
        <f>AE101-AB101</f>
        <v>5597.55</v>
      </c>
      <c r="AG101" s="738">
        <f>8000*T101</f>
        <v>4000</v>
      </c>
      <c r="AH101" s="202">
        <f>AB101-AG101</f>
        <v>402.44999999999982</v>
      </c>
      <c r="AI101" s="203">
        <f>G101*S101</f>
        <v>0</v>
      </c>
      <c r="AJ101" s="203">
        <f t="shared" si="115"/>
        <v>3386.5</v>
      </c>
      <c r="AK101" s="203">
        <f t="shared" si="116"/>
        <v>0</v>
      </c>
      <c r="AL101" s="203">
        <f>R101*T101</f>
        <v>3386.5</v>
      </c>
      <c r="AM101" s="203">
        <f t="shared" si="117"/>
        <v>0</v>
      </c>
      <c r="AN101" s="203">
        <f t="shared" si="117"/>
        <v>0</v>
      </c>
      <c r="AO101" s="205">
        <f t="shared" si="118"/>
        <v>0</v>
      </c>
      <c r="AP101" s="205">
        <f t="shared" si="119"/>
        <v>1015.9499999999999</v>
      </c>
      <c r="AQ101" s="205">
        <f t="shared" si="120"/>
        <v>0</v>
      </c>
      <c r="AR101" s="205">
        <f t="shared" si="121"/>
        <v>0</v>
      </c>
      <c r="AS101" s="205">
        <f t="shared" si="122"/>
        <v>0</v>
      </c>
      <c r="AT101" s="209">
        <f t="shared" si="106"/>
        <v>0</v>
      </c>
      <c r="AU101" s="209">
        <f t="shared" si="106"/>
        <v>3386.5</v>
      </c>
      <c r="AV101" s="203"/>
      <c r="AW101" s="251">
        <f>R101*T101</f>
        <v>3386.5</v>
      </c>
      <c r="AX101" s="251"/>
      <c r="AY101" s="661"/>
      <c r="AZ101" s="661"/>
      <c r="BA101" s="661"/>
    </row>
    <row r="102" spans="2:53" s="76" customFormat="1" ht="33" hidden="1" customHeight="1">
      <c r="B102" s="703">
        <f t="shared" si="105"/>
        <v>73</v>
      </c>
      <c r="C102" s="197" t="s">
        <v>1744</v>
      </c>
      <c r="D102" s="198"/>
      <c r="E102" s="703"/>
      <c r="F102" s="703"/>
      <c r="G102" s="199"/>
      <c r="H102" s="736"/>
      <c r="I102" s="199"/>
      <c r="J102" s="736"/>
      <c r="K102" s="199"/>
      <c r="L102" s="199"/>
      <c r="M102" s="736"/>
      <c r="N102" s="199"/>
      <c r="O102" s="736"/>
      <c r="P102" s="199"/>
      <c r="Q102" s="199"/>
      <c r="R102" s="199">
        <f t="shared" si="108"/>
        <v>0</v>
      </c>
      <c r="S102" s="199"/>
      <c r="T102" s="199"/>
      <c r="U102" s="199"/>
      <c r="V102" s="736"/>
      <c r="W102" s="199"/>
      <c r="X102" s="741"/>
      <c r="Y102" s="737">
        <v>0.3</v>
      </c>
      <c r="Z102" s="199">
        <f t="shared" si="109"/>
        <v>0</v>
      </c>
      <c r="AA102" s="199"/>
      <c r="AB102" s="796">
        <f>(R102+Z102)*S102</f>
        <v>0</v>
      </c>
      <c r="AC102" s="738">
        <f>AF102</f>
        <v>0</v>
      </c>
      <c r="AD102" s="738">
        <f>AB102+AC102</f>
        <v>0</v>
      </c>
      <c r="AE102" s="202">
        <f>20000*S102</f>
        <v>0</v>
      </c>
      <c r="AF102" s="202">
        <f>AE102-AB102</f>
        <v>0</v>
      </c>
      <c r="AG102" s="738">
        <f>8000*S102</f>
        <v>0</v>
      </c>
      <c r="AH102" s="202">
        <f>AB102-AG102</f>
        <v>0</v>
      </c>
      <c r="AI102" s="203">
        <f>G102*S102</f>
        <v>0</v>
      </c>
      <c r="AJ102" s="203">
        <f t="shared" si="115"/>
        <v>0</v>
      </c>
      <c r="AK102" s="203">
        <f t="shared" si="116"/>
        <v>0</v>
      </c>
      <c r="AL102" s="203">
        <f>R102*T102</f>
        <v>0</v>
      </c>
      <c r="AM102" s="203">
        <f t="shared" si="117"/>
        <v>0</v>
      </c>
      <c r="AN102" s="203">
        <f t="shared" si="117"/>
        <v>0</v>
      </c>
      <c r="AO102" s="205">
        <f t="shared" si="118"/>
        <v>0</v>
      </c>
      <c r="AP102" s="205">
        <f t="shared" si="119"/>
        <v>0</v>
      </c>
      <c r="AQ102" s="205">
        <f t="shared" si="120"/>
        <v>0</v>
      </c>
      <c r="AR102" s="205">
        <f t="shared" si="121"/>
        <v>0</v>
      </c>
      <c r="AS102" s="205">
        <f t="shared" si="122"/>
        <v>0</v>
      </c>
      <c r="AT102" s="209">
        <f t="shared" si="106"/>
        <v>0</v>
      </c>
      <c r="AU102" s="209">
        <f t="shared" si="106"/>
        <v>0</v>
      </c>
      <c r="AV102" s="203"/>
      <c r="AW102" s="251">
        <f>R102*S102</f>
        <v>0</v>
      </c>
      <c r="AX102" s="251"/>
      <c r="AY102" s="661"/>
      <c r="AZ102" s="661"/>
      <c r="BA102" s="661"/>
    </row>
    <row r="103" spans="2:53" s="76" customFormat="1" ht="58.5">
      <c r="B103" s="703">
        <f>B101+1</f>
        <v>73</v>
      </c>
      <c r="C103" s="197" t="s">
        <v>1747</v>
      </c>
      <c r="D103" s="198" t="s">
        <v>1748</v>
      </c>
      <c r="E103" s="703" t="s">
        <v>1749</v>
      </c>
      <c r="F103" s="703">
        <v>13</v>
      </c>
      <c r="G103" s="199">
        <v>7253</v>
      </c>
      <c r="H103" s="736"/>
      <c r="I103" s="199"/>
      <c r="J103" s="736"/>
      <c r="K103" s="199"/>
      <c r="L103" s="199"/>
      <c r="M103" s="736"/>
      <c r="N103" s="199"/>
      <c r="O103" s="737">
        <v>0.15</v>
      </c>
      <c r="P103" s="204">
        <f>G103*O103</f>
        <v>1087.95</v>
      </c>
      <c r="Q103" s="201"/>
      <c r="R103" s="199">
        <f t="shared" si="108"/>
        <v>8340.9500000000007</v>
      </c>
      <c r="S103" s="199">
        <v>1</v>
      </c>
      <c r="T103" s="199"/>
      <c r="U103" s="199"/>
      <c r="V103" s="737"/>
      <c r="W103" s="199"/>
      <c r="X103" s="849">
        <v>25</v>
      </c>
      <c r="Y103" s="737">
        <v>0.3</v>
      </c>
      <c r="Z103" s="199">
        <f t="shared" si="109"/>
        <v>2502.2850000000003</v>
      </c>
      <c r="AA103" s="199"/>
      <c r="AB103" s="796">
        <f>(R103+Z103)*S103</f>
        <v>10843.235000000001</v>
      </c>
      <c r="AC103" s="738">
        <f t="shared" si="110"/>
        <v>9156.7649999999994</v>
      </c>
      <c r="AD103" s="738">
        <f t="shared" si="111"/>
        <v>20000</v>
      </c>
      <c r="AE103" s="202">
        <f>20000*S103</f>
        <v>20000</v>
      </c>
      <c r="AF103" s="202">
        <f t="shared" si="112"/>
        <v>9156.7649999999994</v>
      </c>
      <c r="AG103" s="738">
        <f>8000*S103</f>
        <v>8000</v>
      </c>
      <c r="AH103" s="202">
        <f>AB103-AG103</f>
        <v>2843.2350000000006</v>
      </c>
      <c r="AI103" s="203">
        <f>G103*S103</f>
        <v>7253</v>
      </c>
      <c r="AJ103" s="203">
        <f t="shared" si="115"/>
        <v>0</v>
      </c>
      <c r="AK103" s="203">
        <f t="shared" si="116"/>
        <v>8340.9500000000007</v>
      </c>
      <c r="AL103" s="203">
        <f t="shared" ref="AL103:AL112" si="126">R103*T103</f>
        <v>0</v>
      </c>
      <c r="AM103" s="203">
        <f t="shared" si="117"/>
        <v>1087.9500000000007</v>
      </c>
      <c r="AN103" s="203">
        <f t="shared" si="117"/>
        <v>0</v>
      </c>
      <c r="AO103" s="205">
        <f t="shared" si="118"/>
        <v>2502.2850000000003</v>
      </c>
      <c r="AP103" s="205">
        <f t="shared" si="119"/>
        <v>0</v>
      </c>
      <c r="AQ103" s="205">
        <f t="shared" si="120"/>
        <v>0</v>
      </c>
      <c r="AR103" s="205">
        <f t="shared" si="121"/>
        <v>0</v>
      </c>
      <c r="AS103" s="205">
        <f t="shared" si="122"/>
        <v>0</v>
      </c>
      <c r="AT103" s="209">
        <f t="shared" si="106"/>
        <v>8340.9500000000007</v>
      </c>
      <c r="AU103" s="209">
        <f t="shared" si="106"/>
        <v>0</v>
      </c>
      <c r="AV103" s="203"/>
      <c r="AW103" s="251">
        <f>R103*S103</f>
        <v>8340.9500000000007</v>
      </c>
      <c r="AX103" s="251"/>
      <c r="AY103" s="661"/>
      <c r="AZ103" s="661"/>
      <c r="BA103" s="661"/>
    </row>
    <row r="104" spans="2:53" s="76" customFormat="1" ht="58.5">
      <c r="B104" s="703">
        <f t="shared" si="105"/>
        <v>74</v>
      </c>
      <c r="C104" s="197" t="s">
        <v>1750</v>
      </c>
      <c r="D104" s="198" t="s">
        <v>155</v>
      </c>
      <c r="E104" s="703" t="s">
        <v>156</v>
      </c>
      <c r="F104" s="703">
        <v>10</v>
      </c>
      <c r="G104" s="199">
        <v>5815</v>
      </c>
      <c r="H104" s="718"/>
      <c r="I104" s="703"/>
      <c r="J104" s="718"/>
      <c r="K104" s="703"/>
      <c r="L104" s="703"/>
      <c r="M104" s="718"/>
      <c r="N104" s="199"/>
      <c r="O104" s="737">
        <v>0.25</v>
      </c>
      <c r="P104" s="204">
        <f>G104*O104</f>
        <v>1453.75</v>
      </c>
      <c r="Q104" s="201"/>
      <c r="R104" s="199">
        <f t="shared" si="108"/>
        <v>7268.75</v>
      </c>
      <c r="S104" s="199"/>
      <c r="T104" s="199">
        <v>0.25</v>
      </c>
      <c r="U104" s="194"/>
      <c r="V104" s="737"/>
      <c r="W104" s="194"/>
      <c r="X104" s="731">
        <v>22</v>
      </c>
      <c r="Y104" s="737">
        <v>0.3</v>
      </c>
      <c r="Z104" s="199">
        <f>R104*Y104</f>
        <v>2180.625</v>
      </c>
      <c r="AA104" s="204"/>
      <c r="AB104" s="796">
        <f>(R104+Z104)*T104+AA104</f>
        <v>2362.34375</v>
      </c>
      <c r="AC104" s="738">
        <f t="shared" si="110"/>
        <v>2637.65625</v>
      </c>
      <c r="AD104" s="738">
        <f t="shared" si="111"/>
        <v>5000</v>
      </c>
      <c r="AE104" s="202">
        <f>20000*T104</f>
        <v>5000</v>
      </c>
      <c r="AF104" s="202">
        <f t="shared" si="112"/>
        <v>2637.65625</v>
      </c>
      <c r="AG104" s="738">
        <f>8000*T104</f>
        <v>2000</v>
      </c>
      <c r="AH104" s="202">
        <f>AG104-AB104</f>
        <v>-362.34375</v>
      </c>
      <c r="AI104" s="203">
        <f>G104*T104</f>
        <v>1453.75</v>
      </c>
      <c r="AJ104" s="203">
        <f t="shared" si="115"/>
        <v>1453.75</v>
      </c>
      <c r="AK104" s="203">
        <f>R104*T104</f>
        <v>1817.1875</v>
      </c>
      <c r="AL104" s="203">
        <f t="shared" si="126"/>
        <v>1817.1875</v>
      </c>
      <c r="AM104" s="203">
        <f t="shared" ref="AM104:AN106" si="127">AK104-AI104</f>
        <v>363.4375</v>
      </c>
      <c r="AN104" s="203">
        <f t="shared" si="127"/>
        <v>363.4375</v>
      </c>
      <c r="AO104" s="205">
        <f t="shared" si="118"/>
        <v>0</v>
      </c>
      <c r="AP104" s="205">
        <f t="shared" si="119"/>
        <v>545.15625</v>
      </c>
      <c r="AQ104" s="205">
        <f t="shared" si="120"/>
        <v>0</v>
      </c>
      <c r="AR104" s="205">
        <f t="shared" si="121"/>
        <v>0</v>
      </c>
      <c r="AS104" s="205">
        <f t="shared" si="122"/>
        <v>0</v>
      </c>
      <c r="AT104" s="209">
        <f>AK104</f>
        <v>1817.1875</v>
      </c>
      <c r="AU104" s="209">
        <f t="shared" si="106"/>
        <v>1817.1875</v>
      </c>
      <c r="AV104" s="203"/>
      <c r="AW104" s="251">
        <f>R104*T104</f>
        <v>1817.1875</v>
      </c>
      <c r="AX104" s="251"/>
      <c r="AY104" s="661"/>
      <c r="AZ104" s="661"/>
      <c r="BA104" s="661"/>
    </row>
    <row r="105" spans="2:53" s="76" customFormat="1" ht="58.5">
      <c r="B105" s="703">
        <f t="shared" si="105"/>
        <v>75</v>
      </c>
      <c r="C105" s="197" t="s">
        <v>1029</v>
      </c>
      <c r="D105" s="198" t="s">
        <v>1005</v>
      </c>
      <c r="E105" s="703" t="s">
        <v>1006</v>
      </c>
      <c r="F105" s="703">
        <v>13</v>
      </c>
      <c r="G105" s="199">
        <v>7253</v>
      </c>
      <c r="H105" s="736"/>
      <c r="I105" s="199"/>
      <c r="J105" s="736"/>
      <c r="K105" s="199"/>
      <c r="L105" s="199"/>
      <c r="M105" s="736"/>
      <c r="N105" s="199"/>
      <c r="O105" s="736"/>
      <c r="P105" s="199"/>
      <c r="Q105" s="199"/>
      <c r="R105" s="199">
        <f>G105+I105+K105+L105+N105+P105+Q105</f>
        <v>7253</v>
      </c>
      <c r="S105" s="199">
        <v>1</v>
      </c>
      <c r="T105" s="199"/>
      <c r="U105" s="199"/>
      <c r="V105" s="736"/>
      <c r="W105" s="199"/>
      <c r="X105" s="718">
        <v>22</v>
      </c>
      <c r="Y105" s="737">
        <v>0.3</v>
      </c>
      <c r="Z105" s="199">
        <f>R105*Y105</f>
        <v>2175.9</v>
      </c>
      <c r="AA105" s="199"/>
      <c r="AB105" s="796">
        <f>(R105+Z105)*S105</f>
        <v>9428.9</v>
      </c>
      <c r="AC105" s="738">
        <f t="shared" si="110"/>
        <v>10571.1</v>
      </c>
      <c r="AD105" s="738">
        <f t="shared" si="111"/>
        <v>20000</v>
      </c>
      <c r="AE105" s="202">
        <f>20000*S105</f>
        <v>20000</v>
      </c>
      <c r="AF105" s="202">
        <f t="shared" si="112"/>
        <v>10571.1</v>
      </c>
      <c r="AG105" s="738">
        <f>8000*S105</f>
        <v>8000</v>
      </c>
      <c r="AH105" s="202">
        <f>AG105-AB105</f>
        <v>-1428.8999999999996</v>
      </c>
      <c r="AI105" s="203">
        <f>G105*S105</f>
        <v>7253</v>
      </c>
      <c r="AJ105" s="203">
        <f>G105*T105</f>
        <v>0</v>
      </c>
      <c r="AK105" s="203">
        <f>R105*S105</f>
        <v>7253</v>
      </c>
      <c r="AL105" s="203">
        <f t="shared" si="126"/>
        <v>0</v>
      </c>
      <c r="AM105" s="203">
        <f t="shared" si="127"/>
        <v>0</v>
      </c>
      <c r="AN105" s="203">
        <f t="shared" si="127"/>
        <v>0</v>
      </c>
      <c r="AO105" s="205">
        <f>Z105*S105</f>
        <v>2175.9</v>
      </c>
      <c r="AP105" s="205">
        <f>Z105*T105</f>
        <v>0</v>
      </c>
      <c r="AQ105" s="205">
        <f>AA105</f>
        <v>0</v>
      </c>
      <c r="AR105" s="205">
        <f>W105*S105</f>
        <v>0</v>
      </c>
      <c r="AS105" s="205">
        <f>W105*T105</f>
        <v>0</v>
      </c>
      <c r="AT105" s="209">
        <f t="shared" si="106"/>
        <v>7253</v>
      </c>
      <c r="AU105" s="209">
        <f>AL105</f>
        <v>0</v>
      </c>
      <c r="AV105" s="203"/>
      <c r="AW105" s="251">
        <f>R105*S105</f>
        <v>7253</v>
      </c>
      <c r="AX105" s="251"/>
      <c r="AY105" s="661"/>
      <c r="AZ105" s="661"/>
      <c r="BA105" s="661"/>
    </row>
    <row r="106" spans="2:53" s="76" customFormat="1" ht="33">
      <c r="B106" s="703">
        <f t="shared" si="105"/>
        <v>76</v>
      </c>
      <c r="C106" s="197" t="s">
        <v>1009</v>
      </c>
      <c r="D106" s="198" t="s">
        <v>157</v>
      </c>
      <c r="E106" s="703" t="s">
        <v>158</v>
      </c>
      <c r="F106" s="703">
        <v>14</v>
      </c>
      <c r="G106" s="199">
        <v>7732</v>
      </c>
      <c r="H106" s="718"/>
      <c r="I106" s="703"/>
      <c r="J106" s="737">
        <v>0.15</v>
      </c>
      <c r="K106" s="204">
        <f>(G106+I106)*J106</f>
        <v>1159.8</v>
      </c>
      <c r="L106" s="703"/>
      <c r="M106" s="718"/>
      <c r="N106" s="199"/>
      <c r="O106" s="718"/>
      <c r="P106" s="703"/>
      <c r="Q106" s="703"/>
      <c r="R106" s="199">
        <f t="shared" si="108"/>
        <v>8891.7999999999993</v>
      </c>
      <c r="S106" s="199"/>
      <c r="T106" s="199">
        <v>0.25</v>
      </c>
      <c r="U106" s="703"/>
      <c r="V106" s="718"/>
      <c r="W106" s="703"/>
      <c r="X106" s="718">
        <v>22</v>
      </c>
      <c r="Y106" s="737">
        <v>0.3</v>
      </c>
      <c r="Z106" s="199">
        <f t="shared" si="109"/>
        <v>2667.5399999999995</v>
      </c>
      <c r="AA106" s="199"/>
      <c r="AB106" s="796">
        <f>(R106+Z106)*T106+AA106</f>
        <v>2889.8349999999996</v>
      </c>
      <c r="AC106" s="738">
        <f t="shared" si="110"/>
        <v>2110.1650000000004</v>
      </c>
      <c r="AD106" s="738">
        <f t="shared" si="111"/>
        <v>5000</v>
      </c>
      <c r="AE106" s="202">
        <f>20000*T106</f>
        <v>5000</v>
      </c>
      <c r="AF106" s="202">
        <f t="shared" si="112"/>
        <v>2110.1650000000004</v>
      </c>
      <c r="AG106" s="738">
        <f>8000*T106</f>
        <v>2000</v>
      </c>
      <c r="AH106" s="202">
        <f>AG106-AB106</f>
        <v>-889.83499999999958</v>
      </c>
      <c r="AI106" s="203">
        <f>G106*T106</f>
        <v>1933</v>
      </c>
      <c r="AJ106" s="203">
        <f>G106*T106</f>
        <v>1933</v>
      </c>
      <c r="AK106" s="203">
        <f>R106*S106</f>
        <v>0</v>
      </c>
      <c r="AL106" s="203">
        <f t="shared" si="126"/>
        <v>2222.9499999999998</v>
      </c>
      <c r="AM106" s="203">
        <f t="shared" si="127"/>
        <v>-1933</v>
      </c>
      <c r="AN106" s="203">
        <f t="shared" si="127"/>
        <v>289.94999999999982</v>
      </c>
      <c r="AO106" s="205">
        <f>Z106*S106</f>
        <v>0</v>
      </c>
      <c r="AP106" s="205">
        <f>Z106*T106</f>
        <v>666.88499999999988</v>
      </c>
      <c r="AQ106" s="205">
        <f>AA106</f>
        <v>0</v>
      </c>
      <c r="AR106" s="205">
        <f>W106*S106</f>
        <v>0</v>
      </c>
      <c r="AS106" s="205">
        <f>W106*T106</f>
        <v>0</v>
      </c>
      <c r="AT106" s="209">
        <f t="shared" si="106"/>
        <v>0</v>
      </c>
      <c r="AU106" s="209">
        <f t="shared" si="106"/>
        <v>2222.9499999999998</v>
      </c>
      <c r="AV106" s="203"/>
      <c r="AW106" s="251">
        <f>R106*T106</f>
        <v>2222.9499999999998</v>
      </c>
      <c r="AX106" s="251"/>
      <c r="AY106" s="661"/>
      <c r="AZ106" s="661"/>
      <c r="BA106" s="661"/>
    </row>
    <row r="107" spans="2:53" s="76" customFormat="1" ht="33">
      <c r="B107" s="703">
        <f t="shared" si="105"/>
        <v>77</v>
      </c>
      <c r="C107" s="197" t="s">
        <v>1009</v>
      </c>
      <c r="D107" s="198"/>
      <c r="E107" s="703" t="s">
        <v>1741</v>
      </c>
      <c r="F107" s="703">
        <v>11</v>
      </c>
      <c r="G107" s="199">
        <v>6294</v>
      </c>
      <c r="H107" s="718"/>
      <c r="I107" s="703"/>
      <c r="J107" s="737">
        <v>0.15</v>
      </c>
      <c r="K107" s="204">
        <f>(G107+I107)*J107</f>
        <v>944.09999999999991</v>
      </c>
      <c r="L107" s="703"/>
      <c r="M107" s="718"/>
      <c r="N107" s="199"/>
      <c r="O107" s="718"/>
      <c r="P107" s="703"/>
      <c r="Q107" s="703"/>
      <c r="R107" s="199">
        <f t="shared" si="108"/>
        <v>7238.1</v>
      </c>
      <c r="S107" s="199">
        <v>0.75</v>
      </c>
      <c r="T107" s="199"/>
      <c r="U107" s="703"/>
      <c r="V107" s="718"/>
      <c r="W107" s="703"/>
      <c r="X107" s="718">
        <v>0</v>
      </c>
      <c r="Y107" s="737">
        <v>0</v>
      </c>
      <c r="Z107" s="199">
        <f t="shared" si="109"/>
        <v>0</v>
      </c>
      <c r="AA107" s="199">
        <f>AH107</f>
        <v>571.42499999999927</v>
      </c>
      <c r="AB107" s="796">
        <f>(R107+Z107)*S107+AA107</f>
        <v>6000</v>
      </c>
      <c r="AC107" s="738">
        <f>AF107</f>
        <v>9000</v>
      </c>
      <c r="AD107" s="738">
        <f>AB107+AC107</f>
        <v>15000</v>
      </c>
      <c r="AE107" s="202">
        <f>20000*S107</f>
        <v>15000</v>
      </c>
      <c r="AF107" s="202">
        <f>AE107-AB107</f>
        <v>9000</v>
      </c>
      <c r="AG107" s="738">
        <f>8000*S107</f>
        <v>6000</v>
      </c>
      <c r="AH107" s="202">
        <f>AG107-(R107+Z107)*S107</f>
        <v>571.42499999999927</v>
      </c>
      <c r="AI107" s="203">
        <f>G107*S107</f>
        <v>4720.5</v>
      </c>
      <c r="AJ107" s="203"/>
      <c r="AK107" s="203"/>
      <c r="AL107" s="203">
        <f t="shared" si="126"/>
        <v>0</v>
      </c>
      <c r="AM107" s="203"/>
      <c r="AN107" s="203"/>
      <c r="AO107" s="205"/>
      <c r="AP107" s="205"/>
      <c r="AQ107" s="205"/>
      <c r="AR107" s="205"/>
      <c r="AS107" s="205"/>
      <c r="AT107" s="209"/>
      <c r="AU107" s="209"/>
      <c r="AV107" s="203"/>
      <c r="AW107" s="251">
        <f>R107*S107</f>
        <v>5428.5750000000007</v>
      </c>
      <c r="AX107" s="251"/>
      <c r="AY107" s="661"/>
      <c r="AZ107" s="661"/>
      <c r="BA107" s="661"/>
    </row>
    <row r="108" spans="2:53" s="76" customFormat="1" ht="58.5">
      <c r="B108" s="703">
        <f t="shared" si="105"/>
        <v>78</v>
      </c>
      <c r="C108" s="197" t="s">
        <v>1010</v>
      </c>
      <c r="D108" s="198" t="s">
        <v>159</v>
      </c>
      <c r="E108" s="703" t="s">
        <v>1764</v>
      </c>
      <c r="F108" s="703">
        <v>12</v>
      </c>
      <c r="G108" s="199">
        <v>6773</v>
      </c>
      <c r="H108" s="736"/>
      <c r="I108" s="199"/>
      <c r="J108" s="736"/>
      <c r="K108" s="199"/>
      <c r="L108" s="199"/>
      <c r="M108" s="736"/>
      <c r="N108" s="199"/>
      <c r="O108" s="736"/>
      <c r="P108" s="199"/>
      <c r="Q108" s="199"/>
      <c r="R108" s="199">
        <f t="shared" si="108"/>
        <v>6773</v>
      </c>
      <c r="S108" s="199">
        <v>1</v>
      </c>
      <c r="T108" s="199"/>
      <c r="U108" s="199"/>
      <c r="V108" s="736"/>
      <c r="W108" s="199"/>
      <c r="X108" s="741">
        <v>10</v>
      </c>
      <c r="Y108" s="737">
        <v>0.2</v>
      </c>
      <c r="Z108" s="199">
        <f t="shared" si="109"/>
        <v>1354.6000000000001</v>
      </c>
      <c r="AA108" s="199"/>
      <c r="AB108" s="796">
        <f>(R108+Z108)*S108+AA108</f>
        <v>8127.6</v>
      </c>
      <c r="AC108" s="738">
        <f t="shared" si="110"/>
        <v>11872.4</v>
      </c>
      <c r="AD108" s="738">
        <f t="shared" si="111"/>
        <v>20000</v>
      </c>
      <c r="AE108" s="202">
        <f>20000*S108</f>
        <v>20000</v>
      </c>
      <c r="AF108" s="202">
        <f t="shared" si="112"/>
        <v>11872.4</v>
      </c>
      <c r="AG108" s="738">
        <f>8000*S108</f>
        <v>8000</v>
      </c>
      <c r="AH108" s="202">
        <f>AG108-(R108+Z108)*S108</f>
        <v>-127.60000000000036</v>
      </c>
      <c r="AI108" s="203">
        <f>G108*S108</f>
        <v>6773</v>
      </c>
      <c r="AJ108" s="203">
        <f>G108*T108</f>
        <v>0</v>
      </c>
      <c r="AK108" s="203">
        <f t="shared" si="116"/>
        <v>6773</v>
      </c>
      <c r="AL108" s="203">
        <f t="shared" si="126"/>
        <v>0</v>
      </c>
      <c r="AM108" s="203">
        <f t="shared" si="117"/>
        <v>0</v>
      </c>
      <c r="AN108" s="203">
        <f t="shared" si="117"/>
        <v>0</v>
      </c>
      <c r="AO108" s="205">
        <f t="shared" si="118"/>
        <v>1354.6000000000001</v>
      </c>
      <c r="AP108" s="205">
        <f t="shared" si="119"/>
        <v>0</v>
      </c>
      <c r="AQ108" s="205">
        <f t="shared" si="120"/>
        <v>0</v>
      </c>
      <c r="AR108" s="205">
        <f t="shared" si="121"/>
        <v>0</v>
      </c>
      <c r="AS108" s="205">
        <f t="shared" si="122"/>
        <v>0</v>
      </c>
      <c r="AT108" s="209">
        <f t="shared" si="106"/>
        <v>6773</v>
      </c>
      <c r="AU108" s="209">
        <f t="shared" si="106"/>
        <v>0</v>
      </c>
      <c r="AV108" s="203"/>
      <c r="AW108" s="251">
        <f>R108*S108</f>
        <v>6773</v>
      </c>
      <c r="AX108" s="251"/>
      <c r="AY108" s="661"/>
      <c r="AZ108" s="661"/>
      <c r="BA108" s="661"/>
    </row>
    <row r="109" spans="2:53" s="76" customFormat="1" ht="33">
      <c r="B109" s="703">
        <f t="shared" si="105"/>
        <v>79</v>
      </c>
      <c r="C109" s="197" t="s">
        <v>1010</v>
      </c>
      <c r="D109" s="198" t="s">
        <v>160</v>
      </c>
      <c r="E109" s="703" t="s">
        <v>161</v>
      </c>
      <c r="F109" s="703">
        <v>11</v>
      </c>
      <c r="G109" s="199">
        <v>6294</v>
      </c>
      <c r="H109" s="736"/>
      <c r="I109" s="199"/>
      <c r="J109" s="736"/>
      <c r="K109" s="199"/>
      <c r="L109" s="199"/>
      <c r="M109" s="736"/>
      <c r="N109" s="199"/>
      <c r="O109" s="736"/>
      <c r="P109" s="199"/>
      <c r="Q109" s="199"/>
      <c r="R109" s="199">
        <f t="shared" si="108"/>
        <v>6294</v>
      </c>
      <c r="S109" s="199">
        <v>1</v>
      </c>
      <c r="T109" s="199"/>
      <c r="U109" s="199"/>
      <c r="V109" s="736"/>
      <c r="W109" s="199"/>
      <c r="X109" s="741">
        <v>2</v>
      </c>
      <c r="Y109" s="737">
        <v>0</v>
      </c>
      <c r="Z109" s="199">
        <f t="shared" si="109"/>
        <v>0</v>
      </c>
      <c r="AA109" s="199">
        <f>AH109</f>
        <v>1706</v>
      </c>
      <c r="AB109" s="796">
        <f>(R109+Z109)*S109+AA109</f>
        <v>8000</v>
      </c>
      <c r="AC109" s="738">
        <f t="shared" si="110"/>
        <v>12000</v>
      </c>
      <c r="AD109" s="738">
        <f t="shared" si="111"/>
        <v>20000</v>
      </c>
      <c r="AE109" s="202">
        <f>20000*S109</f>
        <v>20000</v>
      </c>
      <c r="AF109" s="202">
        <f t="shared" si="112"/>
        <v>12000</v>
      </c>
      <c r="AG109" s="738">
        <f>8000*S109</f>
        <v>8000</v>
      </c>
      <c r="AH109" s="202">
        <f>AG109-(R109+Z109)*S109</f>
        <v>1706</v>
      </c>
      <c r="AI109" s="203"/>
      <c r="AJ109" s="203">
        <f>G109*T109</f>
        <v>0</v>
      </c>
      <c r="AK109" s="203"/>
      <c r="AL109" s="203">
        <f t="shared" si="126"/>
        <v>0</v>
      </c>
      <c r="AM109" s="203"/>
      <c r="AN109" s="203">
        <f t="shared" si="117"/>
        <v>0</v>
      </c>
      <c r="AO109" s="205"/>
      <c r="AP109" s="205"/>
      <c r="AQ109" s="205"/>
      <c r="AR109" s="205"/>
      <c r="AS109" s="205"/>
      <c r="AT109" s="209"/>
      <c r="AU109" s="209">
        <f t="shared" si="106"/>
        <v>0</v>
      </c>
      <c r="AV109" s="203"/>
      <c r="AW109" s="251">
        <f>R109*S109</f>
        <v>6294</v>
      </c>
      <c r="AX109" s="251"/>
      <c r="AY109" s="661"/>
      <c r="AZ109" s="661"/>
      <c r="BA109" s="661"/>
    </row>
    <row r="110" spans="2:53" s="76" customFormat="1" ht="33">
      <c r="B110" s="703">
        <f t="shared" si="105"/>
        <v>80</v>
      </c>
      <c r="C110" s="197" t="s">
        <v>1015</v>
      </c>
      <c r="D110" s="198" t="s">
        <v>162</v>
      </c>
      <c r="E110" s="198" t="s">
        <v>1735</v>
      </c>
      <c r="F110" s="703">
        <v>13</v>
      </c>
      <c r="G110" s="199">
        <v>7253</v>
      </c>
      <c r="H110" s="736"/>
      <c r="I110" s="199"/>
      <c r="J110" s="736"/>
      <c r="K110" s="199"/>
      <c r="L110" s="199"/>
      <c r="M110" s="736"/>
      <c r="N110" s="199"/>
      <c r="O110" s="736"/>
      <c r="P110" s="199"/>
      <c r="Q110" s="199"/>
      <c r="R110" s="199">
        <f t="shared" si="108"/>
        <v>7253</v>
      </c>
      <c r="S110" s="199"/>
      <c r="T110" s="199">
        <v>0.25</v>
      </c>
      <c r="U110" s="199"/>
      <c r="V110" s="736"/>
      <c r="W110" s="199"/>
      <c r="X110" s="741">
        <v>20</v>
      </c>
      <c r="Y110" s="737">
        <v>0.3</v>
      </c>
      <c r="Z110" s="199">
        <f t="shared" si="109"/>
        <v>2175.9</v>
      </c>
      <c r="AA110" s="199"/>
      <c r="AB110" s="796">
        <f>(R110+Z110)*T110+AA110</f>
        <v>2357.2249999999999</v>
      </c>
      <c r="AC110" s="738">
        <f t="shared" si="110"/>
        <v>2642.7750000000001</v>
      </c>
      <c r="AD110" s="738">
        <f t="shared" si="111"/>
        <v>5000</v>
      </c>
      <c r="AE110" s="202">
        <f>20000*T110</f>
        <v>5000</v>
      </c>
      <c r="AF110" s="202">
        <f t="shared" si="112"/>
        <v>2642.7750000000001</v>
      </c>
      <c r="AG110" s="738">
        <f>8000*T110</f>
        <v>2000</v>
      </c>
      <c r="AH110" s="202">
        <f>AG110-(R110+Z110)*T110</f>
        <v>-357.22499999999991</v>
      </c>
      <c r="AI110" s="203">
        <f>G110*T110</f>
        <v>1813.25</v>
      </c>
      <c r="AJ110" s="203">
        <f t="shared" si="115"/>
        <v>1813.25</v>
      </c>
      <c r="AK110" s="203">
        <f>R110*S110</f>
        <v>0</v>
      </c>
      <c r="AL110" s="203">
        <f t="shared" si="126"/>
        <v>1813.25</v>
      </c>
      <c r="AM110" s="203">
        <f>AK110-AI110</f>
        <v>-1813.25</v>
      </c>
      <c r="AN110" s="203">
        <f>AL110-AJ110</f>
        <v>0</v>
      </c>
      <c r="AO110" s="205">
        <f>Z110*S110</f>
        <v>0</v>
      </c>
      <c r="AP110" s="205">
        <f>Z110*T110</f>
        <v>543.97500000000002</v>
      </c>
      <c r="AQ110" s="205">
        <f>AA110</f>
        <v>0</v>
      </c>
      <c r="AR110" s="205">
        <f>W110*S110</f>
        <v>0</v>
      </c>
      <c r="AS110" s="205">
        <f>W110*T110</f>
        <v>0</v>
      </c>
      <c r="AT110" s="209">
        <f t="shared" si="106"/>
        <v>0</v>
      </c>
      <c r="AU110" s="209">
        <f t="shared" si="106"/>
        <v>1813.25</v>
      </c>
      <c r="AV110" s="203"/>
      <c r="AW110" s="251">
        <f>R110*T110</f>
        <v>1813.25</v>
      </c>
      <c r="AX110" s="251"/>
      <c r="AY110" s="661"/>
      <c r="AZ110" s="661"/>
      <c r="BA110" s="661"/>
    </row>
    <row r="111" spans="2:53" s="76" customFormat="1" ht="58.5">
      <c r="B111" s="703">
        <f t="shared" si="105"/>
        <v>81</v>
      </c>
      <c r="C111" s="197" t="s">
        <v>1016</v>
      </c>
      <c r="D111" s="198" t="s">
        <v>1776</v>
      </c>
      <c r="E111" s="703" t="s">
        <v>1777</v>
      </c>
      <c r="F111" s="703">
        <v>13</v>
      </c>
      <c r="G111" s="199">
        <v>7253</v>
      </c>
      <c r="H111" s="736"/>
      <c r="I111" s="199"/>
      <c r="J111" s="737">
        <v>0.15</v>
      </c>
      <c r="K111" s="204">
        <f>(G111+I111)*J111</f>
        <v>1087.95</v>
      </c>
      <c r="L111" s="199"/>
      <c r="M111" s="736"/>
      <c r="N111" s="199"/>
      <c r="O111" s="736"/>
      <c r="P111" s="206"/>
      <c r="Q111" s="206"/>
      <c r="R111" s="199">
        <f>G111+I111+K111+L111+N111+P111+Q111</f>
        <v>8340.9500000000007</v>
      </c>
      <c r="S111" s="199">
        <v>1</v>
      </c>
      <c r="T111" s="199"/>
      <c r="U111" s="206"/>
      <c r="V111" s="741"/>
      <c r="W111" s="206"/>
      <c r="X111" s="741">
        <v>23</v>
      </c>
      <c r="Y111" s="737">
        <v>0.3</v>
      </c>
      <c r="Z111" s="199">
        <f t="shared" si="109"/>
        <v>2502.2850000000003</v>
      </c>
      <c r="AA111" s="199"/>
      <c r="AB111" s="796">
        <f>(R111+Z111)*S111+AA111</f>
        <v>10843.235000000001</v>
      </c>
      <c r="AC111" s="738">
        <f t="shared" si="110"/>
        <v>9156.7649999999994</v>
      </c>
      <c r="AD111" s="738">
        <f t="shared" si="111"/>
        <v>20000</v>
      </c>
      <c r="AE111" s="202">
        <f>20000*S111</f>
        <v>20000</v>
      </c>
      <c r="AF111" s="202">
        <f t="shared" si="112"/>
        <v>9156.7649999999994</v>
      </c>
      <c r="AG111" s="738">
        <f>8000*S111</f>
        <v>8000</v>
      </c>
      <c r="AH111" s="202">
        <f>AG111-(R111*S111)</f>
        <v>-340.95000000000073</v>
      </c>
      <c r="AI111" s="203">
        <f>G111*S111</f>
        <v>7253</v>
      </c>
      <c r="AJ111" s="203">
        <f t="shared" si="115"/>
        <v>0</v>
      </c>
      <c r="AK111" s="203">
        <f>R111*S111</f>
        <v>8340.9500000000007</v>
      </c>
      <c r="AL111" s="203">
        <f t="shared" si="126"/>
        <v>0</v>
      </c>
      <c r="AM111" s="203">
        <f t="shared" si="117"/>
        <v>1087.9500000000007</v>
      </c>
      <c r="AN111" s="203">
        <f t="shared" si="117"/>
        <v>0</v>
      </c>
      <c r="AO111" s="205">
        <f t="shared" si="118"/>
        <v>2502.2850000000003</v>
      </c>
      <c r="AP111" s="205">
        <f t="shared" si="119"/>
        <v>0</v>
      </c>
      <c r="AQ111" s="205">
        <f t="shared" si="120"/>
        <v>0</v>
      </c>
      <c r="AR111" s="205">
        <f t="shared" si="121"/>
        <v>0</v>
      </c>
      <c r="AS111" s="205">
        <f t="shared" si="122"/>
        <v>0</v>
      </c>
      <c r="AT111" s="209">
        <f t="shared" si="106"/>
        <v>8340.9500000000007</v>
      </c>
      <c r="AU111" s="209">
        <f t="shared" si="106"/>
        <v>0</v>
      </c>
      <c r="AV111" s="203"/>
      <c r="AW111" s="251">
        <f>R111*S111</f>
        <v>8340.9500000000007</v>
      </c>
      <c r="AX111" s="251"/>
      <c r="AY111" s="661"/>
      <c r="AZ111" s="661"/>
      <c r="BA111" s="661"/>
    </row>
    <row r="112" spans="2:53" s="76" customFormat="1" ht="58.5">
      <c r="B112" s="703">
        <f t="shared" si="105"/>
        <v>82</v>
      </c>
      <c r="C112" s="197" t="s">
        <v>1843</v>
      </c>
      <c r="D112" s="198" t="s">
        <v>1357</v>
      </c>
      <c r="E112" s="703" t="s">
        <v>1024</v>
      </c>
      <c r="F112" s="703">
        <v>13</v>
      </c>
      <c r="G112" s="199">
        <v>7253</v>
      </c>
      <c r="H112" s="736"/>
      <c r="I112" s="199"/>
      <c r="J112" s="737"/>
      <c r="K112" s="204"/>
      <c r="L112" s="199"/>
      <c r="M112" s="736"/>
      <c r="N112" s="199"/>
      <c r="O112" s="736"/>
      <c r="P112" s="206"/>
      <c r="Q112" s="206"/>
      <c r="R112" s="199">
        <f>G112+I112+K112+L112+N112+P112+Q112</f>
        <v>7253</v>
      </c>
      <c r="S112" s="199"/>
      <c r="T112" s="199">
        <v>0.25</v>
      </c>
      <c r="U112" s="206"/>
      <c r="V112" s="741"/>
      <c r="W112" s="206"/>
      <c r="X112" s="741">
        <v>27</v>
      </c>
      <c r="Y112" s="737">
        <v>0.3</v>
      </c>
      <c r="Z112" s="199">
        <f t="shared" si="109"/>
        <v>2175.9</v>
      </c>
      <c r="AA112" s="199"/>
      <c r="AB112" s="796">
        <f>(R112+Z112)*T112+AA112</f>
        <v>2357.2249999999999</v>
      </c>
      <c r="AC112" s="738">
        <f t="shared" si="110"/>
        <v>2642.7750000000001</v>
      </c>
      <c r="AD112" s="738">
        <f t="shared" si="111"/>
        <v>5000</v>
      </c>
      <c r="AE112" s="202">
        <f>20000*T112</f>
        <v>5000</v>
      </c>
      <c r="AF112" s="202">
        <f>AE112-AB112</f>
        <v>2642.7750000000001</v>
      </c>
      <c r="AG112" s="738">
        <f>8000*T112</f>
        <v>2000</v>
      </c>
      <c r="AH112" s="202">
        <f>AG112-(R112+Z112)*T112</f>
        <v>-357.22499999999991</v>
      </c>
      <c r="AI112" s="203">
        <f>G112*T112</f>
        <v>1813.25</v>
      </c>
      <c r="AJ112" s="203">
        <f>G112*T112</f>
        <v>1813.25</v>
      </c>
      <c r="AK112" s="203">
        <f>R112*S112</f>
        <v>0</v>
      </c>
      <c r="AL112" s="203">
        <f t="shared" si="126"/>
        <v>1813.25</v>
      </c>
      <c r="AM112" s="203">
        <f>AK112-AI112</f>
        <v>-1813.25</v>
      </c>
      <c r="AN112" s="203"/>
      <c r="AO112" s="205"/>
      <c r="AP112" s="205"/>
      <c r="AQ112" s="205"/>
      <c r="AR112" s="205"/>
      <c r="AS112" s="205"/>
      <c r="AT112" s="209"/>
      <c r="AU112" s="209"/>
      <c r="AV112" s="203"/>
      <c r="AW112" s="251">
        <f>R112*T112</f>
        <v>1813.25</v>
      </c>
      <c r="AX112" s="251"/>
      <c r="AY112" s="661"/>
      <c r="AZ112" s="661"/>
      <c r="BA112" s="661"/>
    </row>
    <row r="113" spans="2:53" s="76" customFormat="1" ht="31.5">
      <c r="B113" s="703"/>
      <c r="C113" s="180" t="s">
        <v>1736</v>
      </c>
      <c r="D113" s="207"/>
      <c r="E113" s="194"/>
      <c r="F113" s="193"/>
      <c r="G113" s="184">
        <f>SUM(G90:G112)</f>
        <v>149496</v>
      </c>
      <c r="H113" s="747"/>
      <c r="I113" s="184"/>
      <c r="J113" s="747"/>
      <c r="K113" s="184"/>
      <c r="L113" s="184"/>
      <c r="M113" s="747"/>
      <c r="N113" s="184"/>
      <c r="O113" s="747"/>
      <c r="P113" s="184"/>
      <c r="Q113" s="184"/>
      <c r="R113" s="184">
        <f>SUM(R90:R112)</f>
        <v>163429.65000000002</v>
      </c>
      <c r="S113" s="184">
        <f>SUM(S90:S112)</f>
        <v>13.5</v>
      </c>
      <c r="T113" s="184">
        <f>SUM(T90:T112)</f>
        <v>2.5</v>
      </c>
      <c r="U113" s="184"/>
      <c r="V113" s="748"/>
      <c r="W113" s="184"/>
      <c r="X113" s="748"/>
      <c r="Y113" s="748"/>
      <c r="Z113" s="184">
        <f t="shared" ref="Z113:AH113" si="128">SUM(Z90:Z112)</f>
        <v>36422.345000000008</v>
      </c>
      <c r="AA113" s="184">
        <f t="shared" si="128"/>
        <v>6808.4312499999996</v>
      </c>
      <c r="AB113" s="800">
        <f t="shared" si="128"/>
        <v>150219.61250000002</v>
      </c>
      <c r="AC113" s="184">
        <f t="shared" si="128"/>
        <v>169780.38749999998</v>
      </c>
      <c r="AD113" s="184">
        <f>SUM(AD90:AD112)</f>
        <v>320000</v>
      </c>
      <c r="AE113" s="184">
        <f t="shared" si="128"/>
        <v>320000</v>
      </c>
      <c r="AF113" s="184">
        <f t="shared" si="128"/>
        <v>169780.38749999998</v>
      </c>
      <c r="AG113" s="184">
        <f>SUM(AG90:AG112)</f>
        <v>128000</v>
      </c>
      <c r="AH113" s="184">
        <f t="shared" si="128"/>
        <v>17413.811250000002</v>
      </c>
      <c r="AI113" s="184">
        <f t="shared" ref="AI113:AV113" si="129">SUM(AI90:AI111)</f>
        <v>95907.5</v>
      </c>
      <c r="AJ113" s="184">
        <f t="shared" si="129"/>
        <v>15240</v>
      </c>
      <c r="AK113" s="184">
        <f t="shared" si="129"/>
        <v>97437.75</v>
      </c>
      <c r="AL113" s="184">
        <f t="shared" si="129"/>
        <v>16891.412500000002</v>
      </c>
      <c r="AM113" s="184">
        <f t="shared" si="129"/>
        <v>4578.9375000000027</v>
      </c>
      <c r="AN113" s="184">
        <f t="shared" si="129"/>
        <v>1433.35</v>
      </c>
      <c r="AO113" s="184">
        <f t="shared" si="129"/>
        <v>21531.783749999999</v>
      </c>
      <c r="AP113" s="184">
        <f t="shared" si="129"/>
        <v>4176.4324999999999</v>
      </c>
      <c r="AQ113" s="184">
        <f t="shared" si="129"/>
        <v>4370</v>
      </c>
      <c r="AR113" s="184">
        <f t="shared" si="129"/>
        <v>0</v>
      </c>
      <c r="AS113" s="184">
        <f t="shared" si="129"/>
        <v>0</v>
      </c>
      <c r="AT113" s="184">
        <f t="shared" si="129"/>
        <v>95765.9375</v>
      </c>
      <c r="AU113" s="184">
        <f t="shared" si="129"/>
        <v>15219.599999999999</v>
      </c>
      <c r="AV113" s="184">
        <f t="shared" si="129"/>
        <v>0</v>
      </c>
      <c r="AW113" s="184">
        <f>SUM(AW90:AW112)</f>
        <v>118396.27499999999</v>
      </c>
      <c r="AX113" s="184">
        <f>SUM(AX90:AX112)</f>
        <v>0</v>
      </c>
      <c r="AY113" s="661"/>
      <c r="AZ113" s="661"/>
      <c r="BA113" s="661"/>
    </row>
    <row r="114" spans="2:53" s="76" customFormat="1" ht="33">
      <c r="B114" s="703"/>
      <c r="C114" s="220" t="s">
        <v>1581</v>
      </c>
      <c r="D114" s="217"/>
      <c r="E114" s="218"/>
      <c r="F114" s="218"/>
      <c r="G114" s="218"/>
      <c r="H114" s="745"/>
      <c r="I114" s="218"/>
      <c r="J114" s="745"/>
      <c r="K114" s="218"/>
      <c r="L114" s="218"/>
      <c r="M114" s="745"/>
      <c r="N114" s="218"/>
      <c r="O114" s="745"/>
      <c r="P114" s="218"/>
      <c r="Q114" s="218"/>
      <c r="R114" s="218"/>
      <c r="S114" s="218"/>
      <c r="T114" s="218"/>
      <c r="U114" s="218"/>
      <c r="V114" s="746"/>
      <c r="W114" s="218"/>
      <c r="X114" s="746"/>
      <c r="Y114" s="746"/>
      <c r="Z114" s="218"/>
      <c r="AA114" s="218"/>
      <c r="AB114" s="799"/>
      <c r="AC114" s="219"/>
      <c r="AD114" s="219"/>
      <c r="AE114" s="219"/>
      <c r="AF114" s="219"/>
      <c r="AG114" s="219"/>
      <c r="AH114" s="219"/>
      <c r="AI114" s="203"/>
      <c r="AJ114" s="203"/>
      <c r="AK114" s="203"/>
      <c r="AL114" s="203"/>
      <c r="AM114" s="203"/>
      <c r="AN114" s="203"/>
      <c r="AO114" s="205"/>
      <c r="AP114" s="205"/>
      <c r="AQ114" s="205"/>
      <c r="AR114" s="205"/>
      <c r="AS114" s="205"/>
      <c r="AT114" s="209"/>
      <c r="AU114" s="209"/>
      <c r="AV114" s="203"/>
      <c r="AW114" s="251"/>
      <c r="AX114" s="251"/>
      <c r="AY114" s="661"/>
      <c r="AZ114" s="661"/>
      <c r="BA114" s="661"/>
    </row>
    <row r="115" spans="2:53" s="78" customFormat="1" ht="33">
      <c r="B115" s="191">
        <f>B112+1</f>
        <v>83</v>
      </c>
      <c r="C115" s="214" t="s">
        <v>1068</v>
      </c>
      <c r="D115" s="192" t="s">
        <v>1751</v>
      </c>
      <c r="E115" s="216" t="s">
        <v>163</v>
      </c>
      <c r="F115" s="216">
        <v>7</v>
      </c>
      <c r="G115" s="210">
        <v>4920</v>
      </c>
      <c r="H115" s="743"/>
      <c r="I115" s="210"/>
      <c r="J115" s="743"/>
      <c r="K115" s="210"/>
      <c r="L115" s="210"/>
      <c r="M115" s="743"/>
      <c r="N115" s="210"/>
      <c r="O115" s="743"/>
      <c r="P115" s="210"/>
      <c r="Q115" s="210"/>
      <c r="R115" s="210">
        <f t="shared" ref="R115:R125" si="130">G115+I115+K115+L115+N115+P115+Q115</f>
        <v>4920</v>
      </c>
      <c r="S115" s="210">
        <v>1</v>
      </c>
      <c r="T115" s="210"/>
      <c r="U115" s="210"/>
      <c r="V115" s="743"/>
      <c r="W115" s="210"/>
      <c r="X115" s="850">
        <v>17</v>
      </c>
      <c r="Y115" s="749">
        <v>0.2</v>
      </c>
      <c r="Z115" s="210">
        <f t="shared" ref="Z115:Z124" si="131">R115*Y115</f>
        <v>984</v>
      </c>
      <c r="AA115" s="210">
        <f t="shared" ref="AA115:AA124" si="132">AH115</f>
        <v>2096</v>
      </c>
      <c r="AB115" s="798">
        <f t="shared" ref="AB115:AB124" si="133">(R115+Z115)*S115+AA115</f>
        <v>8000</v>
      </c>
      <c r="AC115" s="738">
        <f t="shared" ref="AC115:AC125" si="134">AF115</f>
        <v>5500</v>
      </c>
      <c r="AD115" s="738">
        <f t="shared" ref="AD115:AD125" si="135">AB115+AC115</f>
        <v>13500</v>
      </c>
      <c r="AE115" s="738">
        <f t="shared" ref="AE115:AE125" si="136">13500*S115</f>
        <v>13500</v>
      </c>
      <c r="AF115" s="738">
        <f>AE115-AB115</f>
        <v>5500</v>
      </c>
      <c r="AG115" s="738">
        <f t="shared" ref="AG115:AG125" si="137">8000*S115</f>
        <v>8000</v>
      </c>
      <c r="AH115" s="738">
        <f>AG115-(R115+Z115)*S115</f>
        <v>2096</v>
      </c>
      <c r="AI115" s="196">
        <f t="shared" ref="AI115:AI125" si="138">G115*S115</f>
        <v>4920</v>
      </c>
      <c r="AJ115" s="196">
        <f t="shared" ref="AJ115:AJ125" si="139">G115*T115</f>
        <v>0</v>
      </c>
      <c r="AK115" s="196">
        <f t="shared" ref="AK115:AK125" si="140">R115*S115</f>
        <v>4920</v>
      </c>
      <c r="AL115" s="196">
        <f t="shared" ref="AL115:AL125" si="141">R115*T115</f>
        <v>0</v>
      </c>
      <c r="AM115" s="196">
        <f t="shared" ref="AM115:AN125" si="142">AK115-AI115</f>
        <v>0</v>
      </c>
      <c r="AN115" s="196">
        <f t="shared" si="142"/>
        <v>0</v>
      </c>
      <c r="AO115" s="750">
        <f t="shared" ref="AO115:AO125" si="143">Z115*S115</f>
        <v>984</v>
      </c>
      <c r="AP115" s="750">
        <f t="shared" ref="AP115:AP125" si="144">Z115*T115</f>
        <v>0</v>
      </c>
      <c r="AQ115" s="750">
        <f t="shared" ref="AQ115:AQ125" si="145">AA115</f>
        <v>2096</v>
      </c>
      <c r="AR115" s="750">
        <f t="shared" ref="AR115:AR125" si="146">W115*S115</f>
        <v>0</v>
      </c>
      <c r="AS115" s="750">
        <f t="shared" ref="AS115:AS125" si="147">W115*T115</f>
        <v>0</v>
      </c>
      <c r="AT115" s="751">
        <f t="shared" si="106"/>
        <v>4920</v>
      </c>
      <c r="AU115" s="751">
        <f t="shared" si="106"/>
        <v>0</v>
      </c>
      <c r="AV115" s="196"/>
      <c r="AW115" s="221">
        <f>AT115+AU115-AV115</f>
        <v>4920</v>
      </c>
      <c r="AX115" s="221"/>
      <c r="AY115" s="661"/>
      <c r="AZ115" s="661"/>
      <c r="BA115" s="661"/>
    </row>
    <row r="116" spans="2:53" s="78" customFormat="1" ht="33">
      <c r="B116" s="191">
        <f t="shared" si="105"/>
        <v>84</v>
      </c>
      <c r="C116" s="214" t="s">
        <v>1068</v>
      </c>
      <c r="D116" s="192" t="s">
        <v>1751</v>
      </c>
      <c r="E116" s="216" t="s">
        <v>164</v>
      </c>
      <c r="F116" s="216">
        <v>7</v>
      </c>
      <c r="G116" s="210">
        <v>4920</v>
      </c>
      <c r="H116" s="743"/>
      <c r="I116" s="210"/>
      <c r="J116" s="743"/>
      <c r="K116" s="210"/>
      <c r="L116" s="210"/>
      <c r="M116" s="743"/>
      <c r="N116" s="210"/>
      <c r="O116" s="743"/>
      <c r="P116" s="210"/>
      <c r="Q116" s="210"/>
      <c r="R116" s="210">
        <f t="shared" si="130"/>
        <v>4920</v>
      </c>
      <c r="S116" s="210">
        <v>1</v>
      </c>
      <c r="T116" s="210"/>
      <c r="U116" s="210"/>
      <c r="V116" s="743"/>
      <c r="W116" s="210"/>
      <c r="X116" s="850">
        <v>18</v>
      </c>
      <c r="Y116" s="749">
        <v>0.2</v>
      </c>
      <c r="Z116" s="210">
        <f t="shared" si="131"/>
        <v>984</v>
      </c>
      <c r="AA116" s="210">
        <f t="shared" si="132"/>
        <v>2096</v>
      </c>
      <c r="AB116" s="798">
        <f t="shared" si="133"/>
        <v>8000</v>
      </c>
      <c r="AC116" s="738">
        <f t="shared" si="134"/>
        <v>5500</v>
      </c>
      <c r="AD116" s="738">
        <f t="shared" si="135"/>
        <v>13500</v>
      </c>
      <c r="AE116" s="738">
        <f t="shared" si="136"/>
        <v>13500</v>
      </c>
      <c r="AF116" s="738">
        <f t="shared" ref="AF116:AF125" si="148">AE116-AB116</f>
        <v>5500</v>
      </c>
      <c r="AG116" s="738">
        <f t="shared" si="137"/>
        <v>8000</v>
      </c>
      <c r="AH116" s="738">
        <f>AG116-(R116+Z116)*S116</f>
        <v>2096</v>
      </c>
      <c r="AI116" s="196">
        <f t="shared" si="138"/>
        <v>4920</v>
      </c>
      <c r="AJ116" s="196">
        <f t="shared" si="139"/>
        <v>0</v>
      </c>
      <c r="AK116" s="196">
        <f t="shared" si="140"/>
        <v>4920</v>
      </c>
      <c r="AL116" s="196">
        <f t="shared" si="141"/>
        <v>0</v>
      </c>
      <c r="AM116" s="196">
        <f t="shared" si="142"/>
        <v>0</v>
      </c>
      <c r="AN116" s="196">
        <f t="shared" si="142"/>
        <v>0</v>
      </c>
      <c r="AO116" s="750">
        <f t="shared" si="143"/>
        <v>984</v>
      </c>
      <c r="AP116" s="750">
        <f t="shared" si="144"/>
        <v>0</v>
      </c>
      <c r="AQ116" s="750">
        <f t="shared" si="145"/>
        <v>2096</v>
      </c>
      <c r="AR116" s="750">
        <f t="shared" si="146"/>
        <v>0</v>
      </c>
      <c r="AS116" s="750">
        <f t="shared" si="147"/>
        <v>0</v>
      </c>
      <c r="AT116" s="751">
        <f t="shared" si="106"/>
        <v>4920</v>
      </c>
      <c r="AU116" s="751">
        <f t="shared" si="106"/>
        <v>0</v>
      </c>
      <c r="AV116" s="196"/>
      <c r="AW116" s="221">
        <f>AT116+AU116-AV116</f>
        <v>4920</v>
      </c>
      <c r="AX116" s="251"/>
      <c r="AY116" s="661"/>
      <c r="AZ116" s="661"/>
      <c r="BA116" s="661"/>
    </row>
    <row r="117" spans="2:53" s="76" customFormat="1" ht="63">
      <c r="B117" s="703">
        <f>1+B116</f>
        <v>85</v>
      </c>
      <c r="C117" s="197" t="s">
        <v>1790</v>
      </c>
      <c r="D117" s="198" t="s">
        <v>1751</v>
      </c>
      <c r="E117" s="703" t="s">
        <v>1791</v>
      </c>
      <c r="F117" s="703">
        <v>6</v>
      </c>
      <c r="G117" s="199">
        <v>4633</v>
      </c>
      <c r="H117" s="736"/>
      <c r="I117" s="199"/>
      <c r="J117" s="736"/>
      <c r="K117" s="199"/>
      <c r="L117" s="199"/>
      <c r="M117" s="736"/>
      <c r="N117" s="199"/>
      <c r="O117" s="736"/>
      <c r="P117" s="199"/>
      <c r="Q117" s="199"/>
      <c r="R117" s="199">
        <f t="shared" si="130"/>
        <v>4633</v>
      </c>
      <c r="S117" s="199">
        <v>1</v>
      </c>
      <c r="T117" s="199"/>
      <c r="U117" s="199"/>
      <c r="V117" s="736"/>
      <c r="W117" s="199"/>
      <c r="X117" s="718">
        <v>7</v>
      </c>
      <c r="Y117" s="737">
        <v>0.1</v>
      </c>
      <c r="Z117" s="199">
        <f t="shared" si="131"/>
        <v>463.3</v>
      </c>
      <c r="AA117" s="199">
        <f t="shared" si="132"/>
        <v>2903.7</v>
      </c>
      <c r="AB117" s="796">
        <f t="shared" si="133"/>
        <v>8000</v>
      </c>
      <c r="AC117" s="738">
        <f t="shared" si="134"/>
        <v>5500</v>
      </c>
      <c r="AD117" s="738">
        <f t="shared" si="135"/>
        <v>13500</v>
      </c>
      <c r="AE117" s="202">
        <f t="shared" si="136"/>
        <v>13500</v>
      </c>
      <c r="AF117" s="202">
        <f t="shared" si="148"/>
        <v>5500</v>
      </c>
      <c r="AG117" s="738">
        <f t="shared" si="137"/>
        <v>8000</v>
      </c>
      <c r="AH117" s="202">
        <f>AG117-(R117*S117)-Z117</f>
        <v>2903.7</v>
      </c>
      <c r="AI117" s="203">
        <f t="shared" si="138"/>
        <v>4633</v>
      </c>
      <c r="AJ117" s="203">
        <f t="shared" si="139"/>
        <v>0</v>
      </c>
      <c r="AK117" s="203">
        <f t="shared" si="140"/>
        <v>4633</v>
      </c>
      <c r="AL117" s="203">
        <f t="shared" si="141"/>
        <v>0</v>
      </c>
      <c r="AM117" s="203">
        <f t="shared" si="142"/>
        <v>0</v>
      </c>
      <c r="AN117" s="203">
        <f t="shared" si="142"/>
        <v>0</v>
      </c>
      <c r="AO117" s="205">
        <f t="shared" si="143"/>
        <v>463.3</v>
      </c>
      <c r="AP117" s="205">
        <f t="shared" si="144"/>
        <v>0</v>
      </c>
      <c r="AQ117" s="205">
        <f t="shared" si="145"/>
        <v>2903.7</v>
      </c>
      <c r="AR117" s="205">
        <f t="shared" si="146"/>
        <v>0</v>
      </c>
      <c r="AS117" s="205">
        <f t="shared" si="147"/>
        <v>0</v>
      </c>
      <c r="AT117" s="209">
        <f t="shared" si="106"/>
        <v>4633</v>
      </c>
      <c r="AU117" s="209">
        <f t="shared" si="106"/>
        <v>0</v>
      </c>
      <c r="AV117" s="203"/>
      <c r="AW117" s="251">
        <f>R117*S117</f>
        <v>4633</v>
      </c>
      <c r="AX117" s="251"/>
      <c r="AY117" s="661"/>
      <c r="AZ117" s="661"/>
      <c r="BA117" s="661"/>
    </row>
    <row r="118" spans="2:53" s="76" customFormat="1" ht="63">
      <c r="B118" s="703">
        <f t="shared" si="105"/>
        <v>86</v>
      </c>
      <c r="C118" s="197" t="s">
        <v>1790</v>
      </c>
      <c r="D118" s="198" t="s">
        <v>1069</v>
      </c>
      <c r="E118" s="703" t="s">
        <v>1070</v>
      </c>
      <c r="F118" s="703">
        <v>9</v>
      </c>
      <c r="G118" s="199">
        <v>5527</v>
      </c>
      <c r="H118" s="736"/>
      <c r="I118" s="199"/>
      <c r="J118" s="736"/>
      <c r="K118" s="199"/>
      <c r="L118" s="199"/>
      <c r="M118" s="736"/>
      <c r="N118" s="199"/>
      <c r="O118" s="736"/>
      <c r="P118" s="199"/>
      <c r="Q118" s="199"/>
      <c r="R118" s="199">
        <f t="shared" si="130"/>
        <v>5527</v>
      </c>
      <c r="S118" s="199">
        <v>1</v>
      </c>
      <c r="T118" s="199"/>
      <c r="U118" s="199"/>
      <c r="V118" s="736"/>
      <c r="W118" s="199"/>
      <c r="X118" s="718">
        <v>22</v>
      </c>
      <c r="Y118" s="737">
        <v>0.3</v>
      </c>
      <c r="Z118" s="199">
        <f t="shared" si="131"/>
        <v>1658.1</v>
      </c>
      <c r="AA118" s="199">
        <f t="shared" si="132"/>
        <v>814.90000000000009</v>
      </c>
      <c r="AB118" s="796">
        <f t="shared" si="133"/>
        <v>8000</v>
      </c>
      <c r="AC118" s="738">
        <f t="shared" si="134"/>
        <v>5500</v>
      </c>
      <c r="AD118" s="738">
        <f t="shared" si="135"/>
        <v>13500</v>
      </c>
      <c r="AE118" s="202">
        <f t="shared" si="136"/>
        <v>13500</v>
      </c>
      <c r="AF118" s="202">
        <f t="shared" si="148"/>
        <v>5500</v>
      </c>
      <c r="AG118" s="738">
        <f t="shared" si="137"/>
        <v>8000</v>
      </c>
      <c r="AH118" s="202">
        <f t="shared" ref="AH118:AH123" si="149">AG118-(R118*S118)-Z118</f>
        <v>814.90000000000009</v>
      </c>
      <c r="AI118" s="203">
        <f t="shared" si="138"/>
        <v>5527</v>
      </c>
      <c r="AJ118" s="203">
        <f t="shared" si="139"/>
        <v>0</v>
      </c>
      <c r="AK118" s="203">
        <f t="shared" si="140"/>
        <v>5527</v>
      </c>
      <c r="AL118" s="203">
        <f t="shared" si="141"/>
        <v>0</v>
      </c>
      <c r="AM118" s="203">
        <f t="shared" si="142"/>
        <v>0</v>
      </c>
      <c r="AN118" s="203">
        <f t="shared" si="142"/>
        <v>0</v>
      </c>
      <c r="AO118" s="205">
        <f t="shared" si="143"/>
        <v>1658.1</v>
      </c>
      <c r="AP118" s="205">
        <f t="shared" si="144"/>
        <v>0</v>
      </c>
      <c r="AQ118" s="205">
        <f t="shared" si="145"/>
        <v>814.90000000000009</v>
      </c>
      <c r="AR118" s="205">
        <f t="shared" si="146"/>
        <v>0</v>
      </c>
      <c r="AS118" s="205">
        <f t="shared" si="147"/>
        <v>0</v>
      </c>
      <c r="AT118" s="209">
        <f t="shared" si="106"/>
        <v>5527</v>
      </c>
      <c r="AU118" s="209">
        <f t="shared" si="106"/>
        <v>0</v>
      </c>
      <c r="AV118" s="203"/>
      <c r="AW118" s="251">
        <f t="shared" ref="AW118:AW125" si="150">R118*S118</f>
        <v>5527</v>
      </c>
      <c r="AX118" s="251"/>
      <c r="AY118" s="661"/>
      <c r="AZ118" s="661"/>
      <c r="BA118" s="661"/>
    </row>
    <row r="119" spans="2:53" s="76" customFormat="1" ht="63">
      <c r="B119" s="703">
        <f t="shared" si="105"/>
        <v>87</v>
      </c>
      <c r="C119" s="197" t="s">
        <v>1790</v>
      </c>
      <c r="D119" s="212" t="s">
        <v>1071</v>
      </c>
      <c r="E119" s="206" t="s">
        <v>1072</v>
      </c>
      <c r="F119" s="206">
        <v>9</v>
      </c>
      <c r="G119" s="199">
        <v>5527</v>
      </c>
      <c r="H119" s="741"/>
      <c r="I119" s="206"/>
      <c r="J119" s="741"/>
      <c r="K119" s="206"/>
      <c r="L119" s="206"/>
      <c r="M119" s="741"/>
      <c r="N119" s="206"/>
      <c r="O119" s="741"/>
      <c r="P119" s="206"/>
      <c r="Q119" s="199"/>
      <c r="R119" s="199">
        <f t="shared" si="130"/>
        <v>5527</v>
      </c>
      <c r="S119" s="199">
        <v>1</v>
      </c>
      <c r="T119" s="206"/>
      <c r="U119" s="206"/>
      <c r="V119" s="741"/>
      <c r="W119" s="206"/>
      <c r="X119" s="718">
        <v>29</v>
      </c>
      <c r="Y119" s="737">
        <v>0.3</v>
      </c>
      <c r="Z119" s="199">
        <f t="shared" si="131"/>
        <v>1658.1</v>
      </c>
      <c r="AA119" s="199">
        <f t="shared" si="132"/>
        <v>814.90000000000009</v>
      </c>
      <c r="AB119" s="796">
        <f t="shared" si="133"/>
        <v>8000</v>
      </c>
      <c r="AC119" s="738">
        <f t="shared" si="134"/>
        <v>5500</v>
      </c>
      <c r="AD119" s="738">
        <f t="shared" si="135"/>
        <v>13500</v>
      </c>
      <c r="AE119" s="202">
        <f t="shared" si="136"/>
        <v>13500</v>
      </c>
      <c r="AF119" s="202">
        <f t="shared" si="148"/>
        <v>5500</v>
      </c>
      <c r="AG119" s="738">
        <f t="shared" si="137"/>
        <v>8000</v>
      </c>
      <c r="AH119" s="202">
        <f t="shared" si="149"/>
        <v>814.90000000000009</v>
      </c>
      <c r="AI119" s="203">
        <f t="shared" si="138"/>
        <v>5527</v>
      </c>
      <c r="AJ119" s="203">
        <f t="shared" si="139"/>
        <v>0</v>
      </c>
      <c r="AK119" s="203">
        <f t="shared" si="140"/>
        <v>5527</v>
      </c>
      <c r="AL119" s="203">
        <f t="shared" si="141"/>
        <v>0</v>
      </c>
      <c r="AM119" s="203">
        <f t="shared" si="142"/>
        <v>0</v>
      </c>
      <c r="AN119" s="203">
        <f t="shared" si="142"/>
        <v>0</v>
      </c>
      <c r="AO119" s="205">
        <f t="shared" si="143"/>
        <v>1658.1</v>
      </c>
      <c r="AP119" s="205">
        <f t="shared" si="144"/>
        <v>0</v>
      </c>
      <c r="AQ119" s="205">
        <f t="shared" si="145"/>
        <v>814.90000000000009</v>
      </c>
      <c r="AR119" s="205">
        <f t="shared" si="146"/>
        <v>0</v>
      </c>
      <c r="AS119" s="205">
        <f t="shared" si="147"/>
        <v>0</v>
      </c>
      <c r="AT119" s="209">
        <f t="shared" si="106"/>
        <v>5527</v>
      </c>
      <c r="AU119" s="209">
        <f t="shared" si="106"/>
        <v>0</v>
      </c>
      <c r="AV119" s="203"/>
      <c r="AW119" s="251">
        <f t="shared" si="150"/>
        <v>5527</v>
      </c>
      <c r="AX119" s="251"/>
      <c r="AY119" s="661"/>
      <c r="AZ119" s="661"/>
      <c r="BA119" s="661"/>
    </row>
    <row r="120" spans="2:53" s="76" customFormat="1" ht="63">
      <c r="B120" s="703">
        <f t="shared" si="105"/>
        <v>88</v>
      </c>
      <c r="C120" s="197" t="s">
        <v>1790</v>
      </c>
      <c r="D120" s="198" t="s">
        <v>1792</v>
      </c>
      <c r="E120" s="703" t="s">
        <v>1075</v>
      </c>
      <c r="F120" s="703">
        <v>9</v>
      </c>
      <c r="G120" s="199">
        <v>5527</v>
      </c>
      <c r="H120" s="736"/>
      <c r="I120" s="199"/>
      <c r="J120" s="736"/>
      <c r="K120" s="199"/>
      <c r="L120" s="199"/>
      <c r="M120" s="736"/>
      <c r="N120" s="199"/>
      <c r="O120" s="736"/>
      <c r="P120" s="199"/>
      <c r="Q120" s="199"/>
      <c r="R120" s="199">
        <f t="shared" si="130"/>
        <v>5527</v>
      </c>
      <c r="S120" s="199">
        <v>1</v>
      </c>
      <c r="T120" s="199"/>
      <c r="U120" s="199"/>
      <c r="V120" s="736"/>
      <c r="W120" s="199"/>
      <c r="X120" s="718">
        <v>30</v>
      </c>
      <c r="Y120" s="737">
        <v>0.3</v>
      </c>
      <c r="Z120" s="199">
        <f t="shared" si="131"/>
        <v>1658.1</v>
      </c>
      <c r="AA120" s="199">
        <f t="shared" si="132"/>
        <v>814.90000000000009</v>
      </c>
      <c r="AB120" s="796">
        <f t="shared" si="133"/>
        <v>8000</v>
      </c>
      <c r="AC120" s="738">
        <f t="shared" si="134"/>
        <v>5500</v>
      </c>
      <c r="AD120" s="738">
        <f>AB120+AC120</f>
        <v>13500</v>
      </c>
      <c r="AE120" s="202">
        <f>13500*S120</f>
        <v>13500</v>
      </c>
      <c r="AF120" s="202">
        <f>AE120-AB120</f>
        <v>5500</v>
      </c>
      <c r="AG120" s="738">
        <f t="shared" si="137"/>
        <v>8000</v>
      </c>
      <c r="AH120" s="202">
        <f t="shared" si="149"/>
        <v>814.90000000000009</v>
      </c>
      <c r="AI120" s="203">
        <f t="shared" si="138"/>
        <v>5527</v>
      </c>
      <c r="AJ120" s="203">
        <f t="shared" si="139"/>
        <v>0</v>
      </c>
      <c r="AK120" s="203">
        <f t="shared" si="140"/>
        <v>5527</v>
      </c>
      <c r="AL120" s="203">
        <f t="shared" si="141"/>
        <v>0</v>
      </c>
      <c r="AM120" s="203">
        <f t="shared" si="142"/>
        <v>0</v>
      </c>
      <c r="AN120" s="203">
        <f t="shared" si="142"/>
        <v>0</v>
      </c>
      <c r="AO120" s="205">
        <f t="shared" si="143"/>
        <v>1658.1</v>
      </c>
      <c r="AP120" s="205">
        <f t="shared" si="144"/>
        <v>0</v>
      </c>
      <c r="AQ120" s="205">
        <f t="shared" si="145"/>
        <v>814.90000000000009</v>
      </c>
      <c r="AR120" s="205">
        <f t="shared" si="146"/>
        <v>0</v>
      </c>
      <c r="AS120" s="205">
        <f t="shared" si="147"/>
        <v>0</v>
      </c>
      <c r="AT120" s="209">
        <f t="shared" si="106"/>
        <v>5527</v>
      </c>
      <c r="AU120" s="209">
        <f t="shared" si="106"/>
        <v>0</v>
      </c>
      <c r="AV120" s="203"/>
      <c r="AW120" s="251">
        <f t="shared" si="150"/>
        <v>5527</v>
      </c>
      <c r="AX120" s="251"/>
      <c r="AY120" s="661"/>
      <c r="AZ120" s="661"/>
      <c r="BA120" s="661"/>
    </row>
    <row r="121" spans="2:53" s="76" customFormat="1" ht="63">
      <c r="B121" s="703">
        <f t="shared" si="105"/>
        <v>89</v>
      </c>
      <c r="C121" s="197" t="s">
        <v>1790</v>
      </c>
      <c r="D121" s="198" t="s">
        <v>1363</v>
      </c>
      <c r="E121" s="703" t="s">
        <v>1076</v>
      </c>
      <c r="F121" s="703">
        <v>9</v>
      </c>
      <c r="G121" s="199">
        <v>5527</v>
      </c>
      <c r="H121" s="736"/>
      <c r="I121" s="199"/>
      <c r="J121" s="736"/>
      <c r="K121" s="199"/>
      <c r="L121" s="199"/>
      <c r="M121" s="736"/>
      <c r="N121" s="199"/>
      <c r="O121" s="736"/>
      <c r="P121" s="206"/>
      <c r="Q121" s="206"/>
      <c r="R121" s="199">
        <f t="shared" si="130"/>
        <v>5527</v>
      </c>
      <c r="S121" s="199">
        <v>1</v>
      </c>
      <c r="T121" s="199"/>
      <c r="U121" s="206"/>
      <c r="V121" s="741"/>
      <c r="W121" s="206"/>
      <c r="X121" s="718">
        <v>30</v>
      </c>
      <c r="Y121" s="737">
        <v>0.3</v>
      </c>
      <c r="Z121" s="199">
        <f t="shared" si="131"/>
        <v>1658.1</v>
      </c>
      <c r="AA121" s="199">
        <f t="shared" si="132"/>
        <v>814.90000000000009</v>
      </c>
      <c r="AB121" s="796">
        <f t="shared" si="133"/>
        <v>8000</v>
      </c>
      <c r="AC121" s="738">
        <f>AF121</f>
        <v>5500</v>
      </c>
      <c r="AD121" s="738">
        <f>AB121+AC121</f>
        <v>13500</v>
      </c>
      <c r="AE121" s="202">
        <f>13500*S121</f>
        <v>13500</v>
      </c>
      <c r="AF121" s="202">
        <f>AE121-AB121</f>
        <v>5500</v>
      </c>
      <c r="AG121" s="738">
        <f t="shared" si="137"/>
        <v>8000</v>
      </c>
      <c r="AH121" s="202">
        <f t="shared" si="149"/>
        <v>814.90000000000009</v>
      </c>
      <c r="AI121" s="203">
        <f t="shared" si="138"/>
        <v>5527</v>
      </c>
      <c r="AJ121" s="203">
        <f t="shared" si="139"/>
        <v>0</v>
      </c>
      <c r="AK121" s="203">
        <f t="shared" si="140"/>
        <v>5527</v>
      </c>
      <c r="AL121" s="203">
        <f t="shared" si="141"/>
        <v>0</v>
      </c>
      <c r="AM121" s="203">
        <f t="shared" si="142"/>
        <v>0</v>
      </c>
      <c r="AN121" s="203">
        <f t="shared" si="142"/>
        <v>0</v>
      </c>
      <c r="AO121" s="205">
        <f t="shared" si="143"/>
        <v>1658.1</v>
      </c>
      <c r="AP121" s="205">
        <f t="shared" si="144"/>
        <v>0</v>
      </c>
      <c r="AQ121" s="205">
        <f t="shared" si="145"/>
        <v>814.90000000000009</v>
      </c>
      <c r="AR121" s="205">
        <f t="shared" si="146"/>
        <v>0</v>
      </c>
      <c r="AS121" s="205">
        <f t="shared" si="147"/>
        <v>0</v>
      </c>
      <c r="AT121" s="209">
        <f t="shared" si="106"/>
        <v>5527</v>
      </c>
      <c r="AU121" s="209">
        <f t="shared" si="106"/>
        <v>0</v>
      </c>
      <c r="AV121" s="203"/>
      <c r="AW121" s="251">
        <f t="shared" si="150"/>
        <v>5527</v>
      </c>
      <c r="AX121" s="251"/>
      <c r="AY121" s="661"/>
      <c r="AZ121" s="661"/>
      <c r="BA121" s="661"/>
    </row>
    <row r="122" spans="2:53" s="76" customFormat="1" ht="63">
      <c r="B122" s="703">
        <f t="shared" si="105"/>
        <v>90</v>
      </c>
      <c r="C122" s="197" t="s">
        <v>1790</v>
      </c>
      <c r="D122" s="198" t="s">
        <v>1793</v>
      </c>
      <c r="E122" s="703" t="s">
        <v>1077</v>
      </c>
      <c r="F122" s="703">
        <v>9</v>
      </c>
      <c r="G122" s="199">
        <v>5527</v>
      </c>
      <c r="H122" s="736"/>
      <c r="I122" s="199"/>
      <c r="J122" s="736"/>
      <c r="K122" s="199"/>
      <c r="L122" s="199"/>
      <c r="M122" s="736"/>
      <c r="N122" s="199"/>
      <c r="O122" s="736"/>
      <c r="P122" s="199"/>
      <c r="Q122" s="199"/>
      <c r="R122" s="199">
        <f t="shared" si="130"/>
        <v>5527</v>
      </c>
      <c r="S122" s="199">
        <v>1</v>
      </c>
      <c r="T122" s="199"/>
      <c r="U122" s="199"/>
      <c r="V122" s="736"/>
      <c r="W122" s="199"/>
      <c r="X122" s="718">
        <v>42</v>
      </c>
      <c r="Y122" s="737">
        <v>0.3</v>
      </c>
      <c r="Z122" s="199">
        <f t="shared" si="131"/>
        <v>1658.1</v>
      </c>
      <c r="AA122" s="199">
        <f t="shared" si="132"/>
        <v>814.90000000000009</v>
      </c>
      <c r="AB122" s="796">
        <f t="shared" si="133"/>
        <v>8000</v>
      </c>
      <c r="AC122" s="738">
        <f t="shared" si="134"/>
        <v>5500</v>
      </c>
      <c r="AD122" s="738">
        <f t="shared" si="135"/>
        <v>13500</v>
      </c>
      <c r="AE122" s="202">
        <f t="shared" si="136"/>
        <v>13500</v>
      </c>
      <c r="AF122" s="202">
        <f>AE122-AB122</f>
        <v>5500</v>
      </c>
      <c r="AG122" s="738">
        <f t="shared" si="137"/>
        <v>8000</v>
      </c>
      <c r="AH122" s="202">
        <f t="shared" si="149"/>
        <v>814.90000000000009</v>
      </c>
      <c r="AI122" s="203">
        <f t="shared" si="138"/>
        <v>5527</v>
      </c>
      <c r="AJ122" s="203">
        <f t="shared" si="139"/>
        <v>0</v>
      </c>
      <c r="AK122" s="203">
        <f t="shared" si="140"/>
        <v>5527</v>
      </c>
      <c r="AL122" s="203">
        <f t="shared" si="141"/>
        <v>0</v>
      </c>
      <c r="AM122" s="203">
        <f t="shared" si="142"/>
        <v>0</v>
      </c>
      <c r="AN122" s="203">
        <f t="shared" si="142"/>
        <v>0</v>
      </c>
      <c r="AO122" s="205">
        <f t="shared" si="143"/>
        <v>1658.1</v>
      </c>
      <c r="AP122" s="205">
        <f t="shared" si="144"/>
        <v>0</v>
      </c>
      <c r="AQ122" s="205">
        <f t="shared" si="145"/>
        <v>814.90000000000009</v>
      </c>
      <c r="AR122" s="205">
        <f t="shared" si="146"/>
        <v>0</v>
      </c>
      <c r="AS122" s="205">
        <f t="shared" si="147"/>
        <v>0</v>
      </c>
      <c r="AT122" s="209">
        <f t="shared" si="106"/>
        <v>5527</v>
      </c>
      <c r="AU122" s="209">
        <f t="shared" si="106"/>
        <v>0</v>
      </c>
      <c r="AV122" s="203"/>
      <c r="AW122" s="251">
        <f t="shared" si="150"/>
        <v>5527</v>
      </c>
      <c r="AX122" s="251"/>
      <c r="AY122" s="661"/>
      <c r="AZ122" s="661"/>
      <c r="BA122" s="661"/>
    </row>
    <row r="123" spans="2:53" s="76" customFormat="1" ht="87.75">
      <c r="B123" s="703">
        <f t="shared" si="105"/>
        <v>91</v>
      </c>
      <c r="C123" s="197" t="s">
        <v>1790</v>
      </c>
      <c r="D123" s="198" t="s">
        <v>165</v>
      </c>
      <c r="E123" s="703" t="s">
        <v>1078</v>
      </c>
      <c r="F123" s="703">
        <v>9</v>
      </c>
      <c r="G123" s="199">
        <v>5527</v>
      </c>
      <c r="H123" s="736"/>
      <c r="I123" s="199"/>
      <c r="J123" s="737"/>
      <c r="K123" s="201"/>
      <c r="L123" s="201"/>
      <c r="M123" s="736"/>
      <c r="N123" s="199"/>
      <c r="O123" s="736"/>
      <c r="P123" s="206"/>
      <c r="Q123" s="206"/>
      <c r="R123" s="199">
        <f t="shared" si="130"/>
        <v>5527</v>
      </c>
      <c r="S123" s="199">
        <v>1</v>
      </c>
      <c r="T123" s="199"/>
      <c r="U123" s="206"/>
      <c r="V123" s="741"/>
      <c r="W123" s="206"/>
      <c r="X123" s="718">
        <v>32</v>
      </c>
      <c r="Y123" s="737">
        <v>0.3</v>
      </c>
      <c r="Z123" s="199">
        <f t="shared" si="131"/>
        <v>1658.1</v>
      </c>
      <c r="AA123" s="199">
        <f t="shared" si="132"/>
        <v>814.90000000000009</v>
      </c>
      <c r="AB123" s="796">
        <f t="shared" si="133"/>
        <v>8000</v>
      </c>
      <c r="AC123" s="738">
        <f t="shared" si="134"/>
        <v>5500</v>
      </c>
      <c r="AD123" s="738">
        <f t="shared" si="135"/>
        <v>13500</v>
      </c>
      <c r="AE123" s="202">
        <f t="shared" si="136"/>
        <v>13500</v>
      </c>
      <c r="AF123" s="202">
        <f t="shared" si="148"/>
        <v>5500</v>
      </c>
      <c r="AG123" s="738">
        <f t="shared" si="137"/>
        <v>8000</v>
      </c>
      <c r="AH123" s="202">
        <f t="shared" si="149"/>
        <v>814.90000000000009</v>
      </c>
      <c r="AI123" s="203">
        <f t="shared" si="138"/>
        <v>5527</v>
      </c>
      <c r="AJ123" s="203">
        <f t="shared" si="139"/>
        <v>0</v>
      </c>
      <c r="AK123" s="203">
        <f t="shared" si="140"/>
        <v>5527</v>
      </c>
      <c r="AL123" s="203">
        <f t="shared" si="141"/>
        <v>0</v>
      </c>
      <c r="AM123" s="203">
        <f t="shared" si="142"/>
        <v>0</v>
      </c>
      <c r="AN123" s="203">
        <f t="shared" si="142"/>
        <v>0</v>
      </c>
      <c r="AO123" s="205">
        <f t="shared" si="143"/>
        <v>1658.1</v>
      </c>
      <c r="AP123" s="205">
        <f t="shared" si="144"/>
        <v>0</v>
      </c>
      <c r="AQ123" s="205">
        <f t="shared" si="145"/>
        <v>814.90000000000009</v>
      </c>
      <c r="AR123" s="205">
        <f t="shared" si="146"/>
        <v>0</v>
      </c>
      <c r="AS123" s="205">
        <f t="shared" si="147"/>
        <v>0</v>
      </c>
      <c r="AT123" s="209">
        <f t="shared" si="106"/>
        <v>5527</v>
      </c>
      <c r="AU123" s="209">
        <f t="shared" si="106"/>
        <v>0</v>
      </c>
      <c r="AV123" s="203"/>
      <c r="AW123" s="251">
        <f t="shared" si="150"/>
        <v>5527</v>
      </c>
      <c r="AX123" s="251"/>
      <c r="AY123" s="661"/>
      <c r="AZ123" s="661"/>
      <c r="BA123" s="661"/>
    </row>
    <row r="124" spans="2:53" s="76" customFormat="1" ht="63">
      <c r="B124" s="703">
        <f t="shared" si="105"/>
        <v>92</v>
      </c>
      <c r="C124" s="197" t="s">
        <v>1790</v>
      </c>
      <c r="D124" s="198" t="s">
        <v>1794</v>
      </c>
      <c r="E124" s="703" t="s">
        <v>1795</v>
      </c>
      <c r="F124" s="703">
        <v>8</v>
      </c>
      <c r="G124" s="199">
        <v>5240</v>
      </c>
      <c r="H124" s="736"/>
      <c r="I124" s="199"/>
      <c r="J124" s="736"/>
      <c r="K124" s="199"/>
      <c r="L124" s="199"/>
      <c r="M124" s="736"/>
      <c r="N124" s="199"/>
      <c r="O124" s="736"/>
      <c r="P124" s="199"/>
      <c r="Q124" s="199"/>
      <c r="R124" s="199">
        <f t="shared" si="130"/>
        <v>5240</v>
      </c>
      <c r="S124" s="199">
        <v>1</v>
      </c>
      <c r="T124" s="199"/>
      <c r="U124" s="199"/>
      <c r="V124" s="736"/>
      <c r="W124" s="199"/>
      <c r="X124" s="718">
        <v>9</v>
      </c>
      <c r="Y124" s="737">
        <v>0.1</v>
      </c>
      <c r="Z124" s="199">
        <f t="shared" si="131"/>
        <v>524</v>
      </c>
      <c r="AA124" s="199">
        <f t="shared" si="132"/>
        <v>2236</v>
      </c>
      <c r="AB124" s="796">
        <f t="shared" si="133"/>
        <v>8000</v>
      </c>
      <c r="AC124" s="738">
        <f t="shared" si="134"/>
        <v>5500</v>
      </c>
      <c r="AD124" s="738">
        <f t="shared" si="135"/>
        <v>13500</v>
      </c>
      <c r="AE124" s="202">
        <f t="shared" si="136"/>
        <v>13500</v>
      </c>
      <c r="AF124" s="202">
        <f t="shared" si="148"/>
        <v>5500</v>
      </c>
      <c r="AG124" s="738">
        <f t="shared" si="137"/>
        <v>8000</v>
      </c>
      <c r="AH124" s="202">
        <f>AG124-(R124*S124)-Z124</f>
        <v>2236</v>
      </c>
      <c r="AI124" s="203">
        <f t="shared" si="138"/>
        <v>5240</v>
      </c>
      <c r="AJ124" s="203">
        <f t="shared" si="139"/>
        <v>0</v>
      </c>
      <c r="AK124" s="203">
        <f t="shared" si="140"/>
        <v>5240</v>
      </c>
      <c r="AL124" s="203">
        <f t="shared" si="141"/>
        <v>0</v>
      </c>
      <c r="AM124" s="203">
        <f t="shared" si="142"/>
        <v>0</v>
      </c>
      <c r="AN124" s="203">
        <f t="shared" si="142"/>
        <v>0</v>
      </c>
      <c r="AO124" s="205">
        <f t="shared" si="143"/>
        <v>524</v>
      </c>
      <c r="AP124" s="205">
        <f t="shared" si="144"/>
        <v>0</v>
      </c>
      <c r="AQ124" s="205">
        <f t="shared" si="145"/>
        <v>2236</v>
      </c>
      <c r="AR124" s="205">
        <f t="shared" si="146"/>
        <v>0</v>
      </c>
      <c r="AS124" s="205">
        <f t="shared" si="147"/>
        <v>0</v>
      </c>
      <c r="AT124" s="209">
        <f t="shared" si="106"/>
        <v>5240</v>
      </c>
      <c r="AU124" s="209">
        <f t="shared" si="106"/>
        <v>0</v>
      </c>
      <c r="AV124" s="203"/>
      <c r="AW124" s="251">
        <f t="shared" si="150"/>
        <v>5240</v>
      </c>
      <c r="AX124" s="251"/>
      <c r="AY124" s="661"/>
      <c r="AZ124" s="661"/>
      <c r="BA124" s="661"/>
    </row>
    <row r="125" spans="2:53" s="76" customFormat="1" ht="63">
      <c r="B125" s="703">
        <f t="shared" si="105"/>
        <v>93</v>
      </c>
      <c r="C125" s="197" t="s">
        <v>1073</v>
      </c>
      <c r="D125" s="198" t="s">
        <v>1361</v>
      </c>
      <c r="E125" s="703" t="s">
        <v>1074</v>
      </c>
      <c r="F125" s="703">
        <v>9</v>
      </c>
      <c r="G125" s="199">
        <v>5527</v>
      </c>
      <c r="H125" s="736"/>
      <c r="I125" s="199"/>
      <c r="J125" s="736"/>
      <c r="K125" s="199"/>
      <c r="L125" s="199"/>
      <c r="M125" s="736"/>
      <c r="N125" s="199"/>
      <c r="O125" s="737">
        <v>0.25</v>
      </c>
      <c r="P125" s="204">
        <f>G125*O125</f>
        <v>1381.75</v>
      </c>
      <c r="Q125" s="199"/>
      <c r="R125" s="199">
        <f t="shared" si="130"/>
        <v>6908.75</v>
      </c>
      <c r="S125" s="199">
        <v>1</v>
      </c>
      <c r="T125" s="199"/>
      <c r="U125" s="199"/>
      <c r="V125" s="736"/>
      <c r="W125" s="199"/>
      <c r="X125" s="718">
        <v>33</v>
      </c>
      <c r="Y125" s="737">
        <v>0.3</v>
      </c>
      <c r="Z125" s="199">
        <f>R125*Y125</f>
        <v>2072.625</v>
      </c>
      <c r="AA125" s="199"/>
      <c r="AB125" s="796">
        <f>(R125+Z125)*S125</f>
        <v>8981.375</v>
      </c>
      <c r="AC125" s="738">
        <f t="shared" si="134"/>
        <v>4518.625</v>
      </c>
      <c r="AD125" s="738">
        <f t="shared" si="135"/>
        <v>13500</v>
      </c>
      <c r="AE125" s="202">
        <f t="shared" si="136"/>
        <v>13500</v>
      </c>
      <c r="AF125" s="202">
        <f t="shared" si="148"/>
        <v>4518.625</v>
      </c>
      <c r="AG125" s="738">
        <f t="shared" si="137"/>
        <v>8000</v>
      </c>
      <c r="AH125" s="202">
        <f>AG125-(R125*S125)-Z125</f>
        <v>-981.375</v>
      </c>
      <c r="AI125" s="203">
        <f t="shared" si="138"/>
        <v>5527</v>
      </c>
      <c r="AJ125" s="203">
        <f t="shared" si="139"/>
        <v>0</v>
      </c>
      <c r="AK125" s="203">
        <f t="shared" si="140"/>
        <v>6908.75</v>
      </c>
      <c r="AL125" s="203">
        <f t="shared" si="141"/>
        <v>0</v>
      </c>
      <c r="AM125" s="203">
        <f t="shared" si="142"/>
        <v>1381.75</v>
      </c>
      <c r="AN125" s="203">
        <f t="shared" si="142"/>
        <v>0</v>
      </c>
      <c r="AO125" s="205">
        <f t="shared" si="143"/>
        <v>2072.625</v>
      </c>
      <c r="AP125" s="205">
        <f t="shared" si="144"/>
        <v>0</v>
      </c>
      <c r="AQ125" s="205">
        <f t="shared" si="145"/>
        <v>0</v>
      </c>
      <c r="AR125" s="205">
        <f t="shared" si="146"/>
        <v>0</v>
      </c>
      <c r="AS125" s="205">
        <f t="shared" si="147"/>
        <v>0</v>
      </c>
      <c r="AT125" s="209">
        <f t="shared" si="106"/>
        <v>6908.75</v>
      </c>
      <c r="AU125" s="209">
        <f t="shared" si="106"/>
        <v>0</v>
      </c>
      <c r="AV125" s="203"/>
      <c r="AW125" s="251">
        <f t="shared" si="150"/>
        <v>6908.75</v>
      </c>
      <c r="AX125" s="251"/>
      <c r="AY125" s="661"/>
      <c r="AZ125" s="661"/>
      <c r="BA125" s="661"/>
    </row>
    <row r="126" spans="2:53" s="76" customFormat="1" ht="31.5">
      <c r="B126" s="703"/>
      <c r="C126" s="180" t="s">
        <v>1736</v>
      </c>
      <c r="D126" s="207"/>
      <c r="E126" s="194"/>
      <c r="F126" s="193"/>
      <c r="G126" s="183">
        <f>SUM(G115:G125)</f>
        <v>58402</v>
      </c>
      <c r="H126" s="752"/>
      <c r="I126" s="183"/>
      <c r="J126" s="752"/>
      <c r="K126" s="183"/>
      <c r="L126" s="183"/>
      <c r="M126" s="752"/>
      <c r="N126" s="183"/>
      <c r="O126" s="752"/>
      <c r="P126" s="183"/>
      <c r="Q126" s="183"/>
      <c r="R126" s="183">
        <f>SUM(R115:R125)</f>
        <v>59783.75</v>
      </c>
      <c r="S126" s="183">
        <f>SUM(S115:S125)</f>
        <v>11</v>
      </c>
      <c r="T126" s="183">
        <f>SUM(T115:T125)</f>
        <v>0</v>
      </c>
      <c r="U126" s="183"/>
      <c r="V126" s="742"/>
      <c r="W126" s="183"/>
      <c r="X126" s="742"/>
      <c r="Y126" s="742"/>
      <c r="Z126" s="183">
        <f t="shared" ref="Z126:AV126" si="151">SUM(Z115:Z125)</f>
        <v>14976.525000000001</v>
      </c>
      <c r="AA126" s="183">
        <f>SUM(AA115:AA125)</f>
        <v>14221.099999999999</v>
      </c>
      <c r="AB126" s="797">
        <f t="shared" si="151"/>
        <v>88981.375</v>
      </c>
      <c r="AC126" s="183">
        <f t="shared" si="151"/>
        <v>59518.625</v>
      </c>
      <c r="AD126" s="183">
        <f>SUM(AD115:AD125)</f>
        <v>148500</v>
      </c>
      <c r="AE126" s="183">
        <f t="shared" si="151"/>
        <v>148500</v>
      </c>
      <c r="AF126" s="183">
        <f t="shared" si="151"/>
        <v>59518.625</v>
      </c>
      <c r="AG126" s="183">
        <f>SUM(AG115:AG125)</f>
        <v>88000</v>
      </c>
      <c r="AH126" s="183">
        <f t="shared" si="151"/>
        <v>13239.724999999999</v>
      </c>
      <c r="AI126" s="183">
        <f t="shared" si="151"/>
        <v>58402</v>
      </c>
      <c r="AJ126" s="183">
        <f t="shared" si="151"/>
        <v>0</v>
      </c>
      <c r="AK126" s="183">
        <f t="shared" si="151"/>
        <v>59783.75</v>
      </c>
      <c r="AL126" s="183">
        <f t="shared" si="151"/>
        <v>0</v>
      </c>
      <c r="AM126" s="183">
        <f t="shared" si="151"/>
        <v>1381.75</v>
      </c>
      <c r="AN126" s="183">
        <f t="shared" si="151"/>
        <v>0</v>
      </c>
      <c r="AO126" s="183">
        <f t="shared" si="151"/>
        <v>14976.525000000001</v>
      </c>
      <c r="AP126" s="183">
        <f t="shared" si="151"/>
        <v>0</v>
      </c>
      <c r="AQ126" s="183">
        <f t="shared" si="151"/>
        <v>14221.099999999999</v>
      </c>
      <c r="AR126" s="183">
        <f t="shared" si="151"/>
        <v>0</v>
      </c>
      <c r="AS126" s="183">
        <f t="shared" si="151"/>
        <v>0</v>
      </c>
      <c r="AT126" s="183">
        <f t="shared" si="151"/>
        <v>59783.75</v>
      </c>
      <c r="AU126" s="183">
        <f t="shared" si="151"/>
        <v>0</v>
      </c>
      <c r="AV126" s="183">
        <f t="shared" si="151"/>
        <v>0</v>
      </c>
      <c r="AW126" s="183">
        <f>SUM(AW115:AW125)</f>
        <v>59783.75</v>
      </c>
      <c r="AX126" s="183">
        <f>SUM(AX115:AX125)</f>
        <v>0</v>
      </c>
      <c r="AY126" s="661"/>
      <c r="AZ126" s="661"/>
      <c r="BA126" s="661"/>
    </row>
    <row r="127" spans="2:53" s="76" customFormat="1" ht="31.5">
      <c r="B127" s="703"/>
      <c r="C127" s="180" t="s">
        <v>1278</v>
      </c>
      <c r="D127" s="207"/>
      <c r="E127" s="194"/>
      <c r="F127" s="193"/>
      <c r="G127" s="184">
        <f>G113+G126</f>
        <v>207898</v>
      </c>
      <c r="H127" s="742"/>
      <c r="I127" s="183"/>
      <c r="J127" s="742"/>
      <c r="K127" s="183"/>
      <c r="L127" s="183"/>
      <c r="M127" s="742"/>
      <c r="N127" s="183"/>
      <c r="O127" s="742"/>
      <c r="P127" s="183"/>
      <c r="Q127" s="183"/>
      <c r="R127" s="183">
        <f t="shared" ref="R127:AV127" si="152">R113+R126</f>
        <v>223213.40000000002</v>
      </c>
      <c r="S127" s="183">
        <f t="shared" si="152"/>
        <v>24.5</v>
      </c>
      <c r="T127" s="183">
        <f>T113+T126</f>
        <v>2.5</v>
      </c>
      <c r="U127" s="183"/>
      <c r="V127" s="742"/>
      <c r="W127" s="183"/>
      <c r="X127" s="742"/>
      <c r="Y127" s="742"/>
      <c r="Z127" s="183">
        <f t="shared" si="152"/>
        <v>51398.87000000001</v>
      </c>
      <c r="AA127" s="183">
        <f>AA113+AA126</f>
        <v>21029.53125</v>
      </c>
      <c r="AB127" s="797">
        <f t="shared" si="152"/>
        <v>239200.98750000002</v>
      </c>
      <c r="AC127" s="183">
        <f t="shared" si="152"/>
        <v>229299.01249999998</v>
      </c>
      <c r="AD127" s="183">
        <f>AD113+AD126</f>
        <v>468500</v>
      </c>
      <c r="AE127" s="183">
        <f t="shared" si="152"/>
        <v>468500</v>
      </c>
      <c r="AF127" s="183">
        <f t="shared" si="152"/>
        <v>229299.01249999998</v>
      </c>
      <c r="AG127" s="183">
        <f>AG113+AG126</f>
        <v>216000</v>
      </c>
      <c r="AH127" s="183">
        <f t="shared" si="152"/>
        <v>30653.536250000001</v>
      </c>
      <c r="AI127" s="183">
        <f t="shared" si="152"/>
        <v>154309.5</v>
      </c>
      <c r="AJ127" s="183">
        <f t="shared" si="152"/>
        <v>15240</v>
      </c>
      <c r="AK127" s="183">
        <f t="shared" si="152"/>
        <v>157221.5</v>
      </c>
      <c r="AL127" s="183">
        <f t="shared" si="152"/>
        <v>16891.412500000002</v>
      </c>
      <c r="AM127" s="183">
        <f t="shared" si="152"/>
        <v>5960.6875000000027</v>
      </c>
      <c r="AN127" s="183">
        <f t="shared" si="152"/>
        <v>1433.35</v>
      </c>
      <c r="AO127" s="183">
        <f t="shared" si="152"/>
        <v>36508.308749999997</v>
      </c>
      <c r="AP127" s="183">
        <f t="shared" si="152"/>
        <v>4176.4324999999999</v>
      </c>
      <c r="AQ127" s="183">
        <f t="shared" si="152"/>
        <v>18591.099999999999</v>
      </c>
      <c r="AR127" s="183">
        <f t="shared" si="152"/>
        <v>0</v>
      </c>
      <c r="AS127" s="183">
        <f t="shared" si="152"/>
        <v>0</v>
      </c>
      <c r="AT127" s="183">
        <f t="shared" si="152"/>
        <v>155549.6875</v>
      </c>
      <c r="AU127" s="183">
        <f t="shared" si="152"/>
        <v>15219.599999999999</v>
      </c>
      <c r="AV127" s="183">
        <f t="shared" si="152"/>
        <v>0</v>
      </c>
      <c r="AW127" s="183">
        <f>AW113+AW126</f>
        <v>178180.02499999999</v>
      </c>
      <c r="AX127" s="183">
        <f>AX113+AX126</f>
        <v>0</v>
      </c>
      <c r="AY127" s="661"/>
      <c r="AZ127" s="661"/>
      <c r="BA127" s="661"/>
    </row>
    <row r="128" spans="2:53" s="76" customFormat="1" ht="33">
      <c r="B128" s="703"/>
      <c r="C128" s="191" t="s">
        <v>1837</v>
      </c>
      <c r="D128" s="192"/>
      <c r="E128" s="193"/>
      <c r="F128" s="193"/>
      <c r="G128" s="193"/>
      <c r="H128" s="731"/>
      <c r="I128" s="193"/>
      <c r="J128" s="731"/>
      <c r="K128" s="193"/>
      <c r="L128" s="193"/>
      <c r="M128" s="731"/>
      <c r="N128" s="193"/>
      <c r="O128" s="731"/>
      <c r="P128" s="193"/>
      <c r="Q128" s="193"/>
      <c r="R128" s="193"/>
      <c r="S128" s="193"/>
      <c r="T128" s="183"/>
      <c r="U128" s="193"/>
      <c r="V128" s="732"/>
      <c r="W128" s="193"/>
      <c r="X128" s="732"/>
      <c r="Y128" s="732"/>
      <c r="Z128" s="193"/>
      <c r="AA128" s="193"/>
      <c r="AB128" s="795"/>
      <c r="AC128" s="195"/>
      <c r="AD128" s="195"/>
      <c r="AE128" s="195"/>
      <c r="AF128" s="195"/>
      <c r="AG128" s="195"/>
      <c r="AH128" s="195"/>
      <c r="AI128" s="203"/>
      <c r="AJ128" s="203"/>
      <c r="AK128" s="203"/>
      <c r="AL128" s="203"/>
      <c r="AM128" s="203"/>
      <c r="AN128" s="203"/>
      <c r="AO128" s="205"/>
      <c r="AP128" s="205"/>
      <c r="AQ128" s="205"/>
      <c r="AR128" s="205"/>
      <c r="AS128" s="205"/>
      <c r="AT128" s="209"/>
      <c r="AU128" s="209"/>
      <c r="AV128" s="203"/>
      <c r="AW128" s="251"/>
      <c r="AX128" s="251"/>
      <c r="AY128" s="661"/>
      <c r="AZ128" s="661"/>
      <c r="BA128" s="661"/>
    </row>
    <row r="129" spans="2:53" s="76" customFormat="1" ht="61.5">
      <c r="B129" s="703"/>
      <c r="C129" s="191" t="s">
        <v>1766</v>
      </c>
      <c r="D129" s="192"/>
      <c r="E129" s="193"/>
      <c r="F129" s="193"/>
      <c r="G129" s="193"/>
      <c r="H129" s="731"/>
      <c r="I129" s="193"/>
      <c r="J129" s="731"/>
      <c r="K129" s="193"/>
      <c r="L129" s="193"/>
      <c r="M129" s="731"/>
      <c r="N129" s="193"/>
      <c r="O129" s="731"/>
      <c r="P129" s="193"/>
      <c r="Q129" s="193"/>
      <c r="R129" s="193"/>
      <c r="S129" s="193"/>
      <c r="T129" s="183"/>
      <c r="U129" s="193"/>
      <c r="V129" s="732"/>
      <c r="W129" s="193"/>
      <c r="X129" s="732"/>
      <c r="Y129" s="732"/>
      <c r="Z129" s="193"/>
      <c r="AA129" s="193"/>
      <c r="AB129" s="795"/>
      <c r="AC129" s="195"/>
      <c r="AD129" s="195"/>
      <c r="AE129" s="195"/>
      <c r="AF129" s="195"/>
      <c r="AG129" s="195"/>
      <c r="AH129" s="195"/>
      <c r="AI129" s="203"/>
      <c r="AJ129" s="203"/>
      <c r="AK129" s="203"/>
      <c r="AL129" s="203"/>
      <c r="AM129" s="203"/>
      <c r="AN129" s="203"/>
      <c r="AO129" s="205"/>
      <c r="AP129" s="205"/>
      <c r="AQ129" s="205"/>
      <c r="AR129" s="205"/>
      <c r="AS129" s="205"/>
      <c r="AT129" s="209"/>
      <c r="AU129" s="209"/>
      <c r="AV129" s="203"/>
      <c r="AW129" s="251"/>
      <c r="AX129" s="251"/>
      <c r="AY129" s="661"/>
      <c r="AZ129" s="661"/>
      <c r="BA129" s="661"/>
    </row>
    <row r="130" spans="2:53" s="76" customFormat="1" ht="33">
      <c r="B130" s="703"/>
      <c r="C130" s="220" t="s">
        <v>1382</v>
      </c>
      <c r="D130" s="217"/>
      <c r="E130" s="218"/>
      <c r="F130" s="218"/>
      <c r="G130" s="218"/>
      <c r="H130" s="745"/>
      <c r="I130" s="218"/>
      <c r="J130" s="745"/>
      <c r="K130" s="218"/>
      <c r="L130" s="218"/>
      <c r="M130" s="745"/>
      <c r="N130" s="218"/>
      <c r="O130" s="745"/>
      <c r="P130" s="218"/>
      <c r="Q130" s="218"/>
      <c r="R130" s="218"/>
      <c r="S130" s="218"/>
      <c r="T130" s="218"/>
      <c r="U130" s="218"/>
      <c r="V130" s="746"/>
      <c r="W130" s="218"/>
      <c r="X130" s="746"/>
      <c r="Y130" s="746"/>
      <c r="Z130" s="218"/>
      <c r="AA130" s="218"/>
      <c r="AB130" s="799"/>
      <c r="AC130" s="219"/>
      <c r="AD130" s="219"/>
      <c r="AE130" s="219"/>
      <c r="AF130" s="219"/>
      <c r="AG130" s="219"/>
      <c r="AH130" s="219"/>
      <c r="AI130" s="203"/>
      <c r="AJ130" s="203"/>
      <c r="AK130" s="203"/>
      <c r="AL130" s="203"/>
      <c r="AM130" s="203"/>
      <c r="AN130" s="203"/>
      <c r="AO130" s="205"/>
      <c r="AP130" s="205"/>
      <c r="AQ130" s="205"/>
      <c r="AR130" s="205"/>
      <c r="AS130" s="205"/>
      <c r="AT130" s="209"/>
      <c r="AU130" s="209"/>
      <c r="AV130" s="203"/>
      <c r="AW130" s="251"/>
      <c r="AX130" s="251"/>
      <c r="AY130" s="661"/>
      <c r="AZ130" s="661"/>
      <c r="BA130" s="661"/>
    </row>
    <row r="131" spans="2:53" s="76" customFormat="1" ht="63">
      <c r="B131" s="703">
        <f>B125+1</f>
        <v>94</v>
      </c>
      <c r="C131" s="197" t="s">
        <v>1020</v>
      </c>
      <c r="D131" s="198" t="s">
        <v>1021</v>
      </c>
      <c r="E131" s="703" t="s">
        <v>1022</v>
      </c>
      <c r="F131" s="703">
        <v>14</v>
      </c>
      <c r="G131" s="199">
        <v>7732</v>
      </c>
      <c r="H131" s="737">
        <v>0.2</v>
      </c>
      <c r="I131" s="703">
        <f>G131*H131</f>
        <v>1546.4</v>
      </c>
      <c r="J131" s="737">
        <v>0.4</v>
      </c>
      <c r="K131" s="204">
        <f t="shared" ref="K131:K137" si="153">(G131+I131)*J131</f>
        <v>3711.36</v>
      </c>
      <c r="L131" s="201"/>
      <c r="M131" s="718"/>
      <c r="N131" s="703"/>
      <c r="O131" s="718"/>
      <c r="P131" s="703"/>
      <c r="Q131" s="703"/>
      <c r="R131" s="199">
        <f>G131+I131+K131+L131+N131+P131+Q131</f>
        <v>12989.76</v>
      </c>
      <c r="S131" s="199">
        <v>1</v>
      </c>
      <c r="T131" s="206"/>
      <c r="U131" s="703"/>
      <c r="V131" s="718"/>
      <c r="W131" s="703"/>
      <c r="X131" s="718">
        <v>30</v>
      </c>
      <c r="Y131" s="737">
        <v>0.3</v>
      </c>
      <c r="Z131" s="199">
        <f t="shared" ref="Z131:Z139" si="154">R131*Y131</f>
        <v>3896.9279999999999</v>
      </c>
      <c r="AA131" s="199"/>
      <c r="AB131" s="796">
        <f>(R131+Z131)*S131</f>
        <v>16886.688000000002</v>
      </c>
      <c r="AC131" s="738">
        <f t="shared" ref="AC131:AC139" si="155">AF131</f>
        <v>3113.3119999999981</v>
      </c>
      <c r="AD131" s="738">
        <f t="shared" ref="AD131:AD139" si="156">AB131+AC131</f>
        <v>20000</v>
      </c>
      <c r="AE131" s="202">
        <f>20000*S131</f>
        <v>20000</v>
      </c>
      <c r="AF131" s="202">
        <f t="shared" ref="AF131:AF139" si="157">AE131-AB131</f>
        <v>3113.3119999999981</v>
      </c>
      <c r="AG131" s="738">
        <f>8000*S131</f>
        <v>8000</v>
      </c>
      <c r="AH131" s="202">
        <f>AG131-AB131</f>
        <v>-8886.6880000000019</v>
      </c>
      <c r="AI131" s="203">
        <f t="shared" ref="AI131:AI139" si="158">G131*S131</f>
        <v>7732</v>
      </c>
      <c r="AJ131" s="203">
        <f t="shared" ref="AJ131:AJ139" si="159">G131*T131</f>
        <v>0</v>
      </c>
      <c r="AK131" s="203">
        <f t="shared" ref="AK131:AK139" si="160">R131*S131</f>
        <v>12989.76</v>
      </c>
      <c r="AL131" s="203">
        <f>R131*T131</f>
        <v>0</v>
      </c>
      <c r="AM131" s="203">
        <f t="shared" ref="AM131:AN139" si="161">AK131-AI131</f>
        <v>5257.76</v>
      </c>
      <c r="AN131" s="203">
        <f t="shared" si="161"/>
        <v>0</v>
      </c>
      <c r="AO131" s="205">
        <f t="shared" ref="AO131:AO139" si="162">Z131*S131</f>
        <v>3896.9279999999999</v>
      </c>
      <c r="AP131" s="205">
        <f t="shared" ref="AP131:AP139" si="163">Z131*T131</f>
        <v>0</v>
      </c>
      <c r="AQ131" s="205">
        <f t="shared" ref="AQ131:AQ139" si="164">AA131</f>
        <v>0</v>
      </c>
      <c r="AR131" s="205">
        <f t="shared" ref="AR131:AR139" si="165">W131*S131</f>
        <v>0</v>
      </c>
      <c r="AS131" s="205">
        <f t="shared" ref="AS131:AS139" si="166">W131*T131</f>
        <v>0</v>
      </c>
      <c r="AT131" s="209">
        <f t="shared" si="106"/>
        <v>12989.76</v>
      </c>
      <c r="AU131" s="209">
        <f t="shared" si="106"/>
        <v>0</v>
      </c>
      <c r="AV131" s="203"/>
      <c r="AW131" s="251">
        <f>R131*S131</f>
        <v>12989.76</v>
      </c>
      <c r="AX131" s="251"/>
      <c r="AY131" s="661"/>
      <c r="AZ131" s="661"/>
      <c r="BA131" s="661"/>
    </row>
    <row r="132" spans="2:53" s="76" customFormat="1" ht="58.5">
      <c r="B132" s="703">
        <f t="shared" si="105"/>
        <v>95</v>
      </c>
      <c r="C132" s="197" t="s">
        <v>1739</v>
      </c>
      <c r="D132" s="198" t="s">
        <v>1021</v>
      </c>
      <c r="E132" s="703" t="s">
        <v>1022</v>
      </c>
      <c r="F132" s="703">
        <v>14</v>
      </c>
      <c r="G132" s="199">
        <v>7732</v>
      </c>
      <c r="H132" s="736"/>
      <c r="I132" s="199"/>
      <c r="J132" s="737">
        <v>0.4</v>
      </c>
      <c r="K132" s="204">
        <f t="shared" si="153"/>
        <v>3092.8</v>
      </c>
      <c r="L132" s="201"/>
      <c r="M132" s="718"/>
      <c r="N132" s="703"/>
      <c r="O132" s="718"/>
      <c r="P132" s="703"/>
      <c r="Q132" s="703"/>
      <c r="R132" s="199">
        <f t="shared" ref="R132:R139" si="167">G132+I132+K132+L132+N132+P132+Q132</f>
        <v>10824.8</v>
      </c>
      <c r="S132" s="199"/>
      <c r="T132" s="199">
        <v>0.5</v>
      </c>
      <c r="U132" s="703"/>
      <c r="V132" s="718"/>
      <c r="W132" s="703"/>
      <c r="X132" s="718">
        <v>30</v>
      </c>
      <c r="Y132" s="737">
        <v>0.3</v>
      </c>
      <c r="Z132" s="199">
        <f>R132*Y132</f>
        <v>3247.4399999999996</v>
      </c>
      <c r="AA132" s="199"/>
      <c r="AB132" s="796">
        <f>(R132+Z132)*T132</f>
        <v>7036.119999999999</v>
      </c>
      <c r="AC132" s="738">
        <f t="shared" si="155"/>
        <v>2963.880000000001</v>
      </c>
      <c r="AD132" s="738">
        <f t="shared" si="156"/>
        <v>10000</v>
      </c>
      <c r="AE132" s="202">
        <f>20000*T132</f>
        <v>10000</v>
      </c>
      <c r="AF132" s="202">
        <f t="shared" si="157"/>
        <v>2963.880000000001</v>
      </c>
      <c r="AG132" s="738">
        <f>8000*T132</f>
        <v>4000</v>
      </c>
      <c r="AH132" s="202">
        <f>AG132-AB132</f>
        <v>-3036.119999999999</v>
      </c>
      <c r="AI132" s="203">
        <f t="shared" si="158"/>
        <v>0</v>
      </c>
      <c r="AJ132" s="203">
        <f t="shared" si="159"/>
        <v>3866</v>
      </c>
      <c r="AK132" s="203">
        <f t="shared" si="160"/>
        <v>0</v>
      </c>
      <c r="AL132" s="203">
        <f t="shared" ref="AL132:AL139" si="168">R132*T132</f>
        <v>5412.4</v>
      </c>
      <c r="AM132" s="203">
        <f t="shared" si="161"/>
        <v>0</v>
      </c>
      <c r="AN132" s="203">
        <f t="shared" si="161"/>
        <v>1546.3999999999996</v>
      </c>
      <c r="AO132" s="205">
        <f t="shared" si="162"/>
        <v>0</v>
      </c>
      <c r="AP132" s="205">
        <f t="shared" si="163"/>
        <v>1623.7199999999998</v>
      </c>
      <c r="AQ132" s="205">
        <f t="shared" si="164"/>
        <v>0</v>
      </c>
      <c r="AR132" s="205">
        <f t="shared" si="165"/>
        <v>0</v>
      </c>
      <c r="AS132" s="205">
        <f t="shared" si="166"/>
        <v>0</v>
      </c>
      <c r="AT132" s="209">
        <f>AK132</f>
        <v>0</v>
      </c>
      <c r="AU132" s="209">
        <f t="shared" si="106"/>
        <v>5412.4</v>
      </c>
      <c r="AV132" s="203"/>
      <c r="AW132" s="251">
        <f>R132*T132</f>
        <v>5412.4</v>
      </c>
      <c r="AX132" s="251"/>
      <c r="AY132" s="661"/>
      <c r="AZ132" s="661"/>
      <c r="BA132" s="661"/>
    </row>
    <row r="133" spans="2:53" s="76" customFormat="1" ht="87.75">
      <c r="B133" s="703">
        <f t="shared" si="105"/>
        <v>96</v>
      </c>
      <c r="C133" s="197" t="s">
        <v>1739</v>
      </c>
      <c r="D133" s="198" t="s">
        <v>166</v>
      </c>
      <c r="E133" s="703" t="s">
        <v>1740</v>
      </c>
      <c r="F133" s="703">
        <v>12</v>
      </c>
      <c r="G133" s="199">
        <v>6773</v>
      </c>
      <c r="H133" s="736"/>
      <c r="I133" s="199"/>
      <c r="J133" s="737">
        <v>0.2</v>
      </c>
      <c r="K133" s="204">
        <f t="shared" si="153"/>
        <v>1354.6000000000001</v>
      </c>
      <c r="L133" s="199"/>
      <c r="M133" s="736"/>
      <c r="N133" s="199"/>
      <c r="O133" s="736"/>
      <c r="P133" s="199"/>
      <c r="Q133" s="199"/>
      <c r="R133" s="199">
        <f t="shared" si="167"/>
        <v>8127.6</v>
      </c>
      <c r="S133" s="199"/>
      <c r="T133" s="199">
        <v>0.25</v>
      </c>
      <c r="U133" s="199"/>
      <c r="V133" s="736"/>
      <c r="W133" s="199"/>
      <c r="X133" s="849">
        <v>18</v>
      </c>
      <c r="Y133" s="737">
        <v>0.2</v>
      </c>
      <c r="Z133" s="206">
        <f t="shared" si="154"/>
        <v>1625.5200000000002</v>
      </c>
      <c r="AA133" s="199"/>
      <c r="AB133" s="796">
        <f>(R133+Z133)*T133</f>
        <v>2438.2800000000002</v>
      </c>
      <c r="AC133" s="738">
        <f t="shared" si="155"/>
        <v>2561.7199999999998</v>
      </c>
      <c r="AD133" s="738">
        <f t="shared" si="156"/>
        <v>5000</v>
      </c>
      <c r="AE133" s="202">
        <f>20000*T133</f>
        <v>5000</v>
      </c>
      <c r="AF133" s="202">
        <f t="shared" si="157"/>
        <v>2561.7199999999998</v>
      </c>
      <c r="AG133" s="738">
        <f>8000*T133</f>
        <v>2000</v>
      </c>
      <c r="AH133" s="202">
        <f>AG133-AB133</f>
        <v>-438.2800000000002</v>
      </c>
      <c r="AI133" s="203">
        <f t="shared" si="158"/>
        <v>0</v>
      </c>
      <c r="AJ133" s="203">
        <f t="shared" si="159"/>
        <v>1693.25</v>
      </c>
      <c r="AK133" s="203">
        <f t="shared" si="160"/>
        <v>0</v>
      </c>
      <c r="AL133" s="203">
        <f t="shared" si="168"/>
        <v>2031.9</v>
      </c>
      <c r="AM133" s="203">
        <f t="shared" si="161"/>
        <v>0</v>
      </c>
      <c r="AN133" s="203">
        <f t="shared" si="161"/>
        <v>338.65000000000009</v>
      </c>
      <c r="AO133" s="205">
        <f t="shared" si="162"/>
        <v>0</v>
      </c>
      <c r="AP133" s="205">
        <f t="shared" si="163"/>
        <v>406.38000000000005</v>
      </c>
      <c r="AQ133" s="205">
        <f t="shared" si="164"/>
        <v>0</v>
      </c>
      <c r="AR133" s="205">
        <f t="shared" si="165"/>
        <v>0</v>
      </c>
      <c r="AS133" s="205">
        <f t="shared" si="166"/>
        <v>0</v>
      </c>
      <c r="AT133" s="209">
        <f>AK133</f>
        <v>0</v>
      </c>
      <c r="AU133" s="209">
        <f t="shared" si="106"/>
        <v>2031.9</v>
      </c>
      <c r="AV133" s="203"/>
      <c r="AW133" s="251">
        <f>R133*T133</f>
        <v>2031.9</v>
      </c>
      <c r="AX133" s="251"/>
      <c r="AY133" s="661"/>
      <c r="AZ133" s="661"/>
      <c r="BA133" s="661"/>
    </row>
    <row r="134" spans="2:53" s="76" customFormat="1" ht="58.5">
      <c r="B134" s="703">
        <f t="shared" si="105"/>
        <v>97</v>
      </c>
      <c r="C134" s="197" t="s">
        <v>1739</v>
      </c>
      <c r="D134" s="198" t="s">
        <v>1345</v>
      </c>
      <c r="E134" s="703" t="s">
        <v>1346</v>
      </c>
      <c r="F134" s="703">
        <v>14</v>
      </c>
      <c r="G134" s="199">
        <v>7732</v>
      </c>
      <c r="H134" s="736"/>
      <c r="I134" s="199"/>
      <c r="J134" s="737">
        <v>0.2</v>
      </c>
      <c r="K134" s="204">
        <f>(G134+I134)*J134</f>
        <v>1546.4</v>
      </c>
      <c r="L134" s="199"/>
      <c r="M134" s="736"/>
      <c r="N134" s="199"/>
      <c r="O134" s="736"/>
      <c r="P134" s="199"/>
      <c r="Q134" s="199"/>
      <c r="R134" s="199">
        <f t="shared" si="167"/>
        <v>9278.4</v>
      </c>
      <c r="S134" s="199"/>
      <c r="T134" s="199">
        <v>0.25</v>
      </c>
      <c r="U134" s="199"/>
      <c r="V134" s="736"/>
      <c r="W134" s="199"/>
      <c r="X134" s="849">
        <v>15</v>
      </c>
      <c r="Y134" s="737">
        <v>0.2</v>
      </c>
      <c r="Z134" s="199">
        <f t="shared" si="154"/>
        <v>1855.68</v>
      </c>
      <c r="AA134" s="199"/>
      <c r="AB134" s="796">
        <f>(R134+Z134)*T134</f>
        <v>2783.52</v>
      </c>
      <c r="AC134" s="738">
        <f t="shared" si="155"/>
        <v>2216.48</v>
      </c>
      <c r="AD134" s="738">
        <f t="shared" si="156"/>
        <v>5000</v>
      </c>
      <c r="AE134" s="202">
        <f>20000*T134</f>
        <v>5000</v>
      </c>
      <c r="AF134" s="202">
        <f t="shared" si="157"/>
        <v>2216.48</v>
      </c>
      <c r="AG134" s="738">
        <f>8000*T134</f>
        <v>2000</v>
      </c>
      <c r="AH134" s="202">
        <f>AG134-AB134</f>
        <v>-783.52</v>
      </c>
      <c r="AI134" s="203">
        <f t="shared" si="158"/>
        <v>0</v>
      </c>
      <c r="AJ134" s="203">
        <f t="shared" si="159"/>
        <v>1933</v>
      </c>
      <c r="AK134" s="203">
        <f t="shared" si="160"/>
        <v>0</v>
      </c>
      <c r="AL134" s="203">
        <f t="shared" si="168"/>
        <v>2319.6</v>
      </c>
      <c r="AM134" s="203">
        <f t="shared" si="161"/>
        <v>0</v>
      </c>
      <c r="AN134" s="203">
        <f t="shared" si="161"/>
        <v>386.59999999999991</v>
      </c>
      <c r="AO134" s="205">
        <f t="shared" si="162"/>
        <v>0</v>
      </c>
      <c r="AP134" s="205">
        <f t="shared" si="163"/>
        <v>463.92</v>
      </c>
      <c r="AQ134" s="205">
        <f t="shared" si="164"/>
        <v>0</v>
      </c>
      <c r="AR134" s="205">
        <f t="shared" si="165"/>
        <v>0</v>
      </c>
      <c r="AS134" s="205">
        <f t="shared" si="166"/>
        <v>0</v>
      </c>
      <c r="AT134" s="209">
        <f>AK134</f>
        <v>0</v>
      </c>
      <c r="AU134" s="209">
        <f t="shared" si="106"/>
        <v>2319.6</v>
      </c>
      <c r="AV134" s="203"/>
      <c r="AW134" s="251">
        <f>R134*T134</f>
        <v>2319.6</v>
      </c>
      <c r="AX134" s="251"/>
      <c r="AY134" s="661"/>
      <c r="AZ134" s="661"/>
      <c r="BA134" s="661"/>
    </row>
    <row r="135" spans="2:53" s="76" customFormat="1" ht="33">
      <c r="B135" s="703">
        <f t="shared" si="105"/>
        <v>98</v>
      </c>
      <c r="C135" s="197" t="s">
        <v>1739</v>
      </c>
      <c r="D135" s="198" t="s">
        <v>167</v>
      </c>
      <c r="E135" s="703" t="s">
        <v>168</v>
      </c>
      <c r="F135" s="703">
        <v>11</v>
      </c>
      <c r="G135" s="199">
        <v>6294</v>
      </c>
      <c r="H135" s="718"/>
      <c r="I135" s="703"/>
      <c r="J135" s="737">
        <v>0.2</v>
      </c>
      <c r="K135" s="204">
        <f t="shared" si="153"/>
        <v>1258.8000000000002</v>
      </c>
      <c r="L135" s="201"/>
      <c r="M135" s="718"/>
      <c r="N135" s="703"/>
      <c r="O135" s="718"/>
      <c r="P135" s="703"/>
      <c r="Q135" s="703"/>
      <c r="R135" s="199">
        <f t="shared" si="167"/>
        <v>7552.8</v>
      </c>
      <c r="S135" s="199">
        <v>1</v>
      </c>
      <c r="T135" s="199"/>
      <c r="U135" s="703"/>
      <c r="V135" s="718"/>
      <c r="W135" s="703"/>
      <c r="X135" s="718">
        <v>0</v>
      </c>
      <c r="Y135" s="737">
        <v>0</v>
      </c>
      <c r="Z135" s="199">
        <f t="shared" si="154"/>
        <v>0</v>
      </c>
      <c r="AA135" s="896">
        <f>AH135</f>
        <v>447.19999999999982</v>
      </c>
      <c r="AB135" s="796">
        <f>(R135+Z135)*S135+AA135</f>
        <v>8000</v>
      </c>
      <c r="AC135" s="738">
        <f>AF135</f>
        <v>12000</v>
      </c>
      <c r="AD135" s="738">
        <f>AB135+AC135</f>
        <v>20000</v>
      </c>
      <c r="AE135" s="202">
        <f>20000*S135</f>
        <v>20000</v>
      </c>
      <c r="AF135" s="202">
        <f>AE135-AB135</f>
        <v>12000</v>
      </c>
      <c r="AG135" s="738">
        <f>8000*S135</f>
        <v>8000</v>
      </c>
      <c r="AH135" s="202">
        <f>AG135-(R135+Z135)*S135</f>
        <v>447.19999999999982</v>
      </c>
      <c r="AI135" s="203">
        <f>G135*S135</f>
        <v>6294</v>
      </c>
      <c r="AJ135" s="203">
        <f>G135*T135</f>
        <v>0</v>
      </c>
      <c r="AK135" s="203">
        <f t="shared" si="160"/>
        <v>7552.8</v>
      </c>
      <c r="AL135" s="203">
        <f t="shared" si="168"/>
        <v>0</v>
      </c>
      <c r="AM135" s="203">
        <f t="shared" si="161"/>
        <v>1258.8000000000002</v>
      </c>
      <c r="AN135" s="203">
        <f t="shared" si="161"/>
        <v>0</v>
      </c>
      <c r="AO135" s="205">
        <f t="shared" si="162"/>
        <v>0</v>
      </c>
      <c r="AP135" s="205">
        <f t="shared" si="163"/>
        <v>0</v>
      </c>
      <c r="AQ135" s="205">
        <f t="shared" si="164"/>
        <v>447.19999999999982</v>
      </c>
      <c r="AR135" s="205">
        <f t="shared" si="165"/>
        <v>0</v>
      </c>
      <c r="AS135" s="205">
        <f t="shared" si="166"/>
        <v>0</v>
      </c>
      <c r="AT135" s="209">
        <f t="shared" si="106"/>
        <v>7552.8</v>
      </c>
      <c r="AU135" s="209">
        <f t="shared" si="106"/>
        <v>0</v>
      </c>
      <c r="AV135" s="203"/>
      <c r="AW135" s="251">
        <f>R135*S135</f>
        <v>7552.8</v>
      </c>
      <c r="AX135" s="251"/>
      <c r="AY135" s="661"/>
      <c r="AZ135" s="661"/>
      <c r="BA135" s="661"/>
    </row>
    <row r="136" spans="2:53" s="76" customFormat="1" ht="52.5" customHeight="1">
      <c r="B136" s="703">
        <f t="shared" si="105"/>
        <v>99</v>
      </c>
      <c r="C136" s="197" t="s">
        <v>1739</v>
      </c>
      <c r="D136" s="198" t="s">
        <v>1751</v>
      </c>
      <c r="E136" s="703" t="s">
        <v>169</v>
      </c>
      <c r="F136" s="703">
        <v>11</v>
      </c>
      <c r="G136" s="199">
        <v>6294</v>
      </c>
      <c r="H136" s="718"/>
      <c r="I136" s="703"/>
      <c r="J136" s="737">
        <v>0.2</v>
      </c>
      <c r="K136" s="204">
        <f t="shared" si="153"/>
        <v>1258.8000000000002</v>
      </c>
      <c r="L136" s="201"/>
      <c r="M136" s="718"/>
      <c r="N136" s="703"/>
      <c r="O136" s="718"/>
      <c r="P136" s="703"/>
      <c r="Q136" s="703"/>
      <c r="R136" s="199">
        <f t="shared" si="167"/>
        <v>7552.8</v>
      </c>
      <c r="S136" s="199">
        <v>1</v>
      </c>
      <c r="T136" s="199"/>
      <c r="U136" s="703"/>
      <c r="V136" s="718"/>
      <c r="W136" s="703"/>
      <c r="X136" s="718">
        <v>20</v>
      </c>
      <c r="Y136" s="737">
        <v>0.3</v>
      </c>
      <c r="Z136" s="199">
        <f t="shared" si="154"/>
        <v>2265.84</v>
      </c>
      <c r="AA136" s="199"/>
      <c r="AB136" s="796">
        <f>(R136+Z136)*S136</f>
        <v>9818.64</v>
      </c>
      <c r="AC136" s="738">
        <f>AF136</f>
        <v>10181.36</v>
      </c>
      <c r="AD136" s="738">
        <f>AB136+AC136</f>
        <v>20000</v>
      </c>
      <c r="AE136" s="202">
        <f>20000*S136</f>
        <v>20000</v>
      </c>
      <c r="AF136" s="202">
        <f>AE136-AB136</f>
        <v>10181.36</v>
      </c>
      <c r="AG136" s="738">
        <f>8000*S136</f>
        <v>8000</v>
      </c>
      <c r="AH136" s="202">
        <f>AG136-(R136+Z136)*S136</f>
        <v>-1818.6399999999994</v>
      </c>
      <c r="AI136" s="203">
        <f>G136*S136</f>
        <v>6294</v>
      </c>
      <c r="AJ136" s="203">
        <f>G136*T136</f>
        <v>0</v>
      </c>
      <c r="AK136" s="203">
        <f t="shared" si="160"/>
        <v>7552.8</v>
      </c>
      <c r="AL136" s="203">
        <f t="shared" si="168"/>
        <v>0</v>
      </c>
      <c r="AM136" s="203">
        <f t="shared" si="161"/>
        <v>1258.8000000000002</v>
      </c>
      <c r="AN136" s="203">
        <f t="shared" si="161"/>
        <v>0</v>
      </c>
      <c r="AO136" s="205">
        <f t="shared" si="162"/>
        <v>2265.84</v>
      </c>
      <c r="AP136" s="205">
        <f t="shared" si="163"/>
        <v>0</v>
      </c>
      <c r="AQ136" s="205">
        <f t="shared" si="164"/>
        <v>0</v>
      </c>
      <c r="AR136" s="205">
        <f t="shared" si="165"/>
        <v>0</v>
      </c>
      <c r="AS136" s="205">
        <f t="shared" si="166"/>
        <v>0</v>
      </c>
      <c r="AT136" s="209">
        <f t="shared" si="106"/>
        <v>7552.8</v>
      </c>
      <c r="AU136" s="209">
        <f t="shared" si="106"/>
        <v>0</v>
      </c>
      <c r="AV136" s="203"/>
      <c r="AW136" s="251">
        <f>R136*S136</f>
        <v>7552.8</v>
      </c>
      <c r="AX136" s="251"/>
      <c r="AY136" s="661"/>
      <c r="AZ136" s="661"/>
      <c r="BA136" s="661"/>
    </row>
    <row r="137" spans="2:53" s="76" customFormat="1" ht="33" hidden="1" customHeight="1">
      <c r="B137" s="703"/>
      <c r="C137" s="197"/>
      <c r="D137" s="198"/>
      <c r="E137" s="703"/>
      <c r="F137" s="703"/>
      <c r="G137" s="199"/>
      <c r="H137" s="718"/>
      <c r="I137" s="703"/>
      <c r="J137" s="737">
        <v>0.2</v>
      </c>
      <c r="K137" s="204">
        <f t="shared" si="153"/>
        <v>0</v>
      </c>
      <c r="L137" s="201"/>
      <c r="M137" s="718"/>
      <c r="N137" s="703"/>
      <c r="O137" s="718"/>
      <c r="P137" s="703"/>
      <c r="Q137" s="703"/>
      <c r="R137" s="199">
        <f t="shared" si="167"/>
        <v>0</v>
      </c>
      <c r="S137" s="199"/>
      <c r="T137" s="199"/>
      <c r="U137" s="703"/>
      <c r="V137" s="718"/>
      <c r="W137" s="703"/>
      <c r="X137" s="718"/>
      <c r="Y137" s="737">
        <v>0</v>
      </c>
      <c r="Z137" s="199">
        <f t="shared" si="154"/>
        <v>0</v>
      </c>
      <c r="AA137" s="199"/>
      <c r="AB137" s="796">
        <f>(R137+Z137)*S137</f>
        <v>0</v>
      </c>
      <c r="AC137" s="738">
        <f>AF137</f>
        <v>0</v>
      </c>
      <c r="AD137" s="738">
        <f>AB137+AC137</f>
        <v>0</v>
      </c>
      <c r="AE137" s="202">
        <f>20000*S137</f>
        <v>0</v>
      </c>
      <c r="AF137" s="202">
        <f>AE137-AB137</f>
        <v>0</v>
      </c>
      <c r="AG137" s="738">
        <f>7100*S137</f>
        <v>0</v>
      </c>
      <c r="AH137" s="202">
        <f>AG137-(R137+Z137)*S137</f>
        <v>0</v>
      </c>
      <c r="AI137" s="203">
        <f>G137*S137</f>
        <v>0</v>
      </c>
      <c r="AJ137" s="203">
        <f>G137*T137</f>
        <v>0</v>
      </c>
      <c r="AK137" s="203">
        <f t="shared" si="160"/>
        <v>0</v>
      </c>
      <c r="AL137" s="203">
        <f t="shared" si="168"/>
        <v>0</v>
      </c>
      <c r="AM137" s="203">
        <f t="shared" si="161"/>
        <v>0</v>
      </c>
      <c r="AN137" s="203">
        <f t="shared" si="161"/>
        <v>0</v>
      </c>
      <c r="AO137" s="205">
        <f t="shared" si="162"/>
        <v>0</v>
      </c>
      <c r="AP137" s="205">
        <f t="shared" si="163"/>
        <v>0</v>
      </c>
      <c r="AQ137" s="205">
        <f t="shared" si="164"/>
        <v>0</v>
      </c>
      <c r="AR137" s="205">
        <f t="shared" si="165"/>
        <v>0</v>
      </c>
      <c r="AS137" s="205">
        <f t="shared" si="166"/>
        <v>0</v>
      </c>
      <c r="AT137" s="209">
        <f t="shared" si="106"/>
        <v>0</v>
      </c>
      <c r="AU137" s="209">
        <f t="shared" si="106"/>
        <v>0</v>
      </c>
      <c r="AV137" s="203"/>
      <c r="AW137" s="251">
        <f>R137*S137</f>
        <v>0</v>
      </c>
      <c r="AX137" s="251"/>
      <c r="AY137" s="661"/>
      <c r="AZ137" s="661"/>
      <c r="BA137" s="661"/>
    </row>
    <row r="138" spans="2:53" s="76" customFormat="1" ht="58.5">
      <c r="B138" s="703">
        <f>B136+1</f>
        <v>100</v>
      </c>
      <c r="C138" s="197" t="s">
        <v>1353</v>
      </c>
      <c r="D138" s="198" t="s">
        <v>1354</v>
      </c>
      <c r="E138" s="703" t="s">
        <v>1355</v>
      </c>
      <c r="F138" s="703">
        <v>13</v>
      </c>
      <c r="G138" s="199">
        <v>7253</v>
      </c>
      <c r="H138" s="718"/>
      <c r="I138" s="703"/>
      <c r="J138" s="718"/>
      <c r="K138" s="703"/>
      <c r="L138" s="703"/>
      <c r="M138" s="718"/>
      <c r="N138" s="222"/>
      <c r="O138" s="737">
        <v>0.15</v>
      </c>
      <c r="P138" s="204">
        <f>G138*O138</f>
        <v>1087.95</v>
      </c>
      <c r="Q138" s="201"/>
      <c r="R138" s="199">
        <f t="shared" si="167"/>
        <v>8340.9500000000007</v>
      </c>
      <c r="S138" s="199"/>
      <c r="T138" s="199">
        <v>0.5</v>
      </c>
      <c r="U138" s="703"/>
      <c r="V138" s="718"/>
      <c r="W138" s="703"/>
      <c r="X138" s="718">
        <v>10</v>
      </c>
      <c r="Y138" s="737">
        <v>0.2</v>
      </c>
      <c r="Z138" s="199">
        <f t="shared" si="154"/>
        <v>1668.1900000000003</v>
      </c>
      <c r="AA138" s="199"/>
      <c r="AB138" s="796">
        <f>(R138+Z138)*T138</f>
        <v>5004.5700000000006</v>
      </c>
      <c r="AC138" s="738">
        <f t="shared" si="155"/>
        <v>4995.4299999999994</v>
      </c>
      <c r="AD138" s="738">
        <f t="shared" si="156"/>
        <v>10000</v>
      </c>
      <c r="AE138" s="202">
        <f>20000*T138</f>
        <v>10000</v>
      </c>
      <c r="AF138" s="202">
        <f t="shared" si="157"/>
        <v>4995.4299999999994</v>
      </c>
      <c r="AG138" s="738">
        <f>8000*T138</f>
        <v>4000</v>
      </c>
      <c r="AH138" s="202">
        <f>AG138-(R138+Z138)*T138</f>
        <v>-1004.5700000000006</v>
      </c>
      <c r="AI138" s="203">
        <f t="shared" si="158"/>
        <v>0</v>
      </c>
      <c r="AJ138" s="203">
        <f t="shared" si="159"/>
        <v>3626.5</v>
      </c>
      <c r="AK138" s="203">
        <f t="shared" si="160"/>
        <v>0</v>
      </c>
      <c r="AL138" s="203">
        <f t="shared" si="168"/>
        <v>4170.4750000000004</v>
      </c>
      <c r="AM138" s="203">
        <f t="shared" si="161"/>
        <v>0</v>
      </c>
      <c r="AN138" s="203">
        <f t="shared" si="161"/>
        <v>543.97500000000036</v>
      </c>
      <c r="AO138" s="205">
        <f t="shared" si="162"/>
        <v>0</v>
      </c>
      <c r="AP138" s="205">
        <f t="shared" si="163"/>
        <v>834.09500000000014</v>
      </c>
      <c r="AQ138" s="205">
        <f t="shared" si="164"/>
        <v>0</v>
      </c>
      <c r="AR138" s="205">
        <f t="shared" si="165"/>
        <v>0</v>
      </c>
      <c r="AS138" s="205">
        <f t="shared" si="166"/>
        <v>0</v>
      </c>
      <c r="AT138" s="209">
        <f t="shared" si="106"/>
        <v>0</v>
      </c>
      <c r="AU138" s="209">
        <f t="shared" si="106"/>
        <v>4170.4750000000004</v>
      </c>
      <c r="AV138" s="203"/>
      <c r="AW138" s="251">
        <f>R138*T138</f>
        <v>4170.4750000000004</v>
      </c>
      <c r="AX138" s="251"/>
      <c r="AY138" s="661"/>
      <c r="AZ138" s="661"/>
      <c r="BA138" s="661"/>
    </row>
    <row r="139" spans="2:53" s="76" customFormat="1" ht="58.5">
      <c r="B139" s="703">
        <f t="shared" si="105"/>
        <v>101</v>
      </c>
      <c r="C139" s="197" t="s">
        <v>1023</v>
      </c>
      <c r="D139" s="198" t="s">
        <v>170</v>
      </c>
      <c r="E139" s="703" t="s">
        <v>1356</v>
      </c>
      <c r="F139" s="703">
        <v>13</v>
      </c>
      <c r="G139" s="199">
        <v>7253</v>
      </c>
      <c r="H139" s="718"/>
      <c r="I139" s="703"/>
      <c r="J139" s="718"/>
      <c r="K139" s="703"/>
      <c r="L139" s="703"/>
      <c r="M139" s="718"/>
      <c r="N139" s="222"/>
      <c r="O139" s="737">
        <v>0.15</v>
      </c>
      <c r="P139" s="204">
        <f>G139*O139</f>
        <v>1087.95</v>
      </c>
      <c r="Q139" s="201"/>
      <c r="R139" s="199">
        <f t="shared" si="167"/>
        <v>8340.9500000000007</v>
      </c>
      <c r="S139" s="199"/>
      <c r="T139" s="199">
        <v>0.5</v>
      </c>
      <c r="U139" s="703"/>
      <c r="V139" s="718"/>
      <c r="W139" s="703"/>
      <c r="X139" s="718">
        <v>41</v>
      </c>
      <c r="Y139" s="737">
        <v>0.3</v>
      </c>
      <c r="Z139" s="199">
        <f t="shared" si="154"/>
        <v>2502.2850000000003</v>
      </c>
      <c r="AA139" s="199"/>
      <c r="AB139" s="796">
        <f>(R139+Z139)*T139</f>
        <v>5421.6175000000003</v>
      </c>
      <c r="AC139" s="738">
        <f t="shared" si="155"/>
        <v>4578.3824999999997</v>
      </c>
      <c r="AD139" s="738">
        <f t="shared" si="156"/>
        <v>10000</v>
      </c>
      <c r="AE139" s="202">
        <f>20000*T139</f>
        <v>10000</v>
      </c>
      <c r="AF139" s="202">
        <f t="shared" si="157"/>
        <v>4578.3824999999997</v>
      </c>
      <c r="AG139" s="738">
        <f>8000*T139</f>
        <v>4000</v>
      </c>
      <c r="AH139" s="202">
        <f>AG139-(R139+Z139)*T139</f>
        <v>-1421.6175000000003</v>
      </c>
      <c r="AI139" s="203">
        <f t="shared" si="158"/>
        <v>0</v>
      </c>
      <c r="AJ139" s="203">
        <f t="shared" si="159"/>
        <v>3626.5</v>
      </c>
      <c r="AK139" s="203">
        <f t="shared" si="160"/>
        <v>0</v>
      </c>
      <c r="AL139" s="203">
        <f t="shared" si="168"/>
        <v>4170.4750000000004</v>
      </c>
      <c r="AM139" s="203">
        <f t="shared" si="161"/>
        <v>0</v>
      </c>
      <c r="AN139" s="203">
        <f t="shared" si="161"/>
        <v>543.97500000000036</v>
      </c>
      <c r="AO139" s="205">
        <f t="shared" si="162"/>
        <v>0</v>
      </c>
      <c r="AP139" s="205">
        <f t="shared" si="163"/>
        <v>1251.1425000000002</v>
      </c>
      <c r="AQ139" s="205">
        <f t="shared" si="164"/>
        <v>0</v>
      </c>
      <c r="AR139" s="205">
        <f t="shared" si="165"/>
        <v>0</v>
      </c>
      <c r="AS139" s="205">
        <f t="shared" si="166"/>
        <v>0</v>
      </c>
      <c r="AT139" s="209">
        <f t="shared" si="106"/>
        <v>0</v>
      </c>
      <c r="AU139" s="209">
        <f t="shared" si="106"/>
        <v>4170.4750000000004</v>
      </c>
      <c r="AV139" s="203"/>
      <c r="AW139" s="251">
        <f>R139*T139</f>
        <v>4170.4750000000004</v>
      </c>
      <c r="AX139" s="251"/>
      <c r="AY139" s="661"/>
      <c r="AZ139" s="661"/>
      <c r="BA139" s="661"/>
    </row>
    <row r="140" spans="2:53" s="76" customFormat="1" ht="31.5">
      <c r="B140" s="703"/>
      <c r="C140" s="180" t="s">
        <v>1736</v>
      </c>
      <c r="D140" s="207"/>
      <c r="E140" s="193"/>
      <c r="F140" s="193"/>
      <c r="G140" s="183">
        <f>SUM(G131:G139)</f>
        <v>57063</v>
      </c>
      <c r="H140" s="752"/>
      <c r="I140" s="183">
        <f>SUM(I131:I139)</f>
        <v>1546.4</v>
      </c>
      <c r="J140" s="752"/>
      <c r="K140" s="185">
        <f>SUM(K131:K139)</f>
        <v>12222.759999999998</v>
      </c>
      <c r="L140" s="183"/>
      <c r="M140" s="752"/>
      <c r="N140" s="183"/>
      <c r="O140" s="752"/>
      <c r="P140" s="183">
        <f>SUM(P131:P139)</f>
        <v>2175.9</v>
      </c>
      <c r="Q140" s="183"/>
      <c r="R140" s="183">
        <f>SUM(R131:R139)</f>
        <v>73008.06</v>
      </c>
      <c r="S140" s="183">
        <f>SUM(S131:S139)</f>
        <v>3</v>
      </c>
      <c r="T140" s="183">
        <f>SUM(T131:T139)</f>
        <v>2</v>
      </c>
      <c r="U140" s="183"/>
      <c r="V140" s="742"/>
      <c r="W140" s="183"/>
      <c r="X140" s="742"/>
      <c r="Y140" s="742"/>
      <c r="Z140" s="183">
        <f t="shared" ref="Z140:AV140" si="169">SUM(Z131:Z139)</f>
        <v>17061.883000000002</v>
      </c>
      <c r="AA140" s="183">
        <f t="shared" si="169"/>
        <v>447.19999999999982</v>
      </c>
      <c r="AB140" s="797">
        <f t="shared" si="169"/>
        <v>57389.4355</v>
      </c>
      <c r="AC140" s="183">
        <f t="shared" si="169"/>
        <v>42610.5645</v>
      </c>
      <c r="AD140" s="183">
        <f>SUM(AD131:AD139)</f>
        <v>100000</v>
      </c>
      <c r="AE140" s="183">
        <f t="shared" si="169"/>
        <v>100000</v>
      </c>
      <c r="AF140" s="183">
        <f t="shared" si="169"/>
        <v>42610.5645</v>
      </c>
      <c r="AG140" s="183">
        <f>SUM(AG131:AG139)</f>
        <v>40000</v>
      </c>
      <c r="AH140" s="183">
        <f t="shared" si="169"/>
        <v>-16942.235500000003</v>
      </c>
      <c r="AI140" s="183">
        <f t="shared" si="169"/>
        <v>20320</v>
      </c>
      <c r="AJ140" s="183">
        <f t="shared" si="169"/>
        <v>14745.25</v>
      </c>
      <c r="AK140" s="183">
        <f t="shared" si="169"/>
        <v>28095.360000000001</v>
      </c>
      <c r="AL140" s="183">
        <f t="shared" si="169"/>
        <v>18104.849999999999</v>
      </c>
      <c r="AM140" s="183">
        <f t="shared" si="169"/>
        <v>7775.3600000000006</v>
      </c>
      <c r="AN140" s="183">
        <f t="shared" si="169"/>
        <v>3359.6000000000004</v>
      </c>
      <c r="AO140" s="183">
        <f t="shared" si="169"/>
        <v>6162.768</v>
      </c>
      <c r="AP140" s="183">
        <f t="shared" si="169"/>
        <v>4579.2575000000006</v>
      </c>
      <c r="AQ140" s="183">
        <f t="shared" si="169"/>
        <v>447.19999999999982</v>
      </c>
      <c r="AR140" s="183">
        <f t="shared" si="169"/>
        <v>0</v>
      </c>
      <c r="AS140" s="183">
        <f t="shared" si="169"/>
        <v>0</v>
      </c>
      <c r="AT140" s="183">
        <f t="shared" si="169"/>
        <v>28095.360000000001</v>
      </c>
      <c r="AU140" s="183">
        <f t="shared" si="169"/>
        <v>18104.849999999999</v>
      </c>
      <c r="AV140" s="183">
        <f t="shared" si="169"/>
        <v>0</v>
      </c>
      <c r="AW140" s="183">
        <f>SUM(AW131:AW139)</f>
        <v>46200.21</v>
      </c>
      <c r="AX140" s="183">
        <f>SUM(AX131:AX139)</f>
        <v>0</v>
      </c>
      <c r="AY140" s="661"/>
      <c r="AZ140" s="661"/>
      <c r="BA140" s="661"/>
    </row>
    <row r="141" spans="2:53" s="76" customFormat="1" ht="33">
      <c r="B141" s="703"/>
      <c r="C141" s="220" t="s">
        <v>1581</v>
      </c>
      <c r="D141" s="217"/>
      <c r="E141" s="218"/>
      <c r="F141" s="218"/>
      <c r="G141" s="218"/>
      <c r="H141" s="745"/>
      <c r="I141" s="218"/>
      <c r="J141" s="745"/>
      <c r="K141" s="218"/>
      <c r="L141" s="218"/>
      <c r="M141" s="745"/>
      <c r="N141" s="218"/>
      <c r="O141" s="745"/>
      <c r="P141" s="218"/>
      <c r="Q141" s="218"/>
      <c r="R141" s="218"/>
      <c r="S141" s="218"/>
      <c r="T141" s="218"/>
      <c r="U141" s="218"/>
      <c r="V141" s="746"/>
      <c r="W141" s="218"/>
      <c r="X141" s="746"/>
      <c r="Y141" s="746"/>
      <c r="Z141" s="218"/>
      <c r="AA141" s="218"/>
      <c r="AB141" s="799"/>
      <c r="AC141" s="219"/>
      <c r="AD141" s="219"/>
      <c r="AE141" s="219"/>
      <c r="AF141" s="219"/>
      <c r="AG141" s="219"/>
      <c r="AH141" s="219"/>
      <c r="AI141" s="203"/>
      <c r="AJ141" s="203"/>
      <c r="AK141" s="203"/>
      <c r="AL141" s="203"/>
      <c r="AM141" s="203"/>
      <c r="AN141" s="203"/>
      <c r="AO141" s="205"/>
      <c r="AP141" s="205"/>
      <c r="AQ141" s="205"/>
      <c r="AR141" s="205"/>
      <c r="AS141" s="205"/>
      <c r="AT141" s="209"/>
      <c r="AU141" s="209"/>
      <c r="AV141" s="203"/>
      <c r="AW141" s="251"/>
      <c r="AX141" s="251"/>
      <c r="AY141" s="661"/>
      <c r="AZ141" s="661"/>
      <c r="BA141" s="661"/>
    </row>
    <row r="142" spans="2:53" s="76" customFormat="1" ht="63">
      <c r="B142" s="703">
        <f>B139+1</f>
        <v>102</v>
      </c>
      <c r="C142" s="197" t="s">
        <v>1080</v>
      </c>
      <c r="D142" s="198" t="s">
        <v>1081</v>
      </c>
      <c r="E142" s="703" t="s">
        <v>1082</v>
      </c>
      <c r="F142" s="703">
        <v>10</v>
      </c>
      <c r="G142" s="199">
        <v>5815</v>
      </c>
      <c r="H142" s="737">
        <v>0.1</v>
      </c>
      <c r="I142" s="703">
        <f>G142*H142</f>
        <v>581.5</v>
      </c>
      <c r="J142" s="741"/>
      <c r="K142" s="206"/>
      <c r="L142" s="206"/>
      <c r="M142" s="741"/>
      <c r="N142" s="206"/>
      <c r="O142" s="741"/>
      <c r="P142" s="206"/>
      <c r="Q142" s="206"/>
      <c r="R142" s="199">
        <f>G142+I142+K142+L142+N142+P142+Q142</f>
        <v>6396.5</v>
      </c>
      <c r="S142" s="199">
        <v>1</v>
      </c>
      <c r="T142" s="206"/>
      <c r="U142" s="206"/>
      <c r="V142" s="741"/>
      <c r="W142" s="206"/>
      <c r="X142" s="718">
        <v>24</v>
      </c>
      <c r="Y142" s="737">
        <v>0.3</v>
      </c>
      <c r="Z142" s="199">
        <f>R142*Y142</f>
        <v>1918.9499999999998</v>
      </c>
      <c r="AA142" s="199"/>
      <c r="AB142" s="796">
        <f>(R142+Z142)*S142</f>
        <v>8315.4500000000007</v>
      </c>
      <c r="AC142" s="738">
        <f t="shared" ref="AC142:AC151" si="170">AF142</f>
        <v>5184.5499999999993</v>
      </c>
      <c r="AD142" s="738">
        <f t="shared" ref="AD142:AD151" si="171">AB142+AC142</f>
        <v>13500</v>
      </c>
      <c r="AE142" s="202">
        <f t="shared" ref="AE142:AE151" si="172">13500*S142</f>
        <v>13500</v>
      </c>
      <c r="AF142" s="202">
        <f t="shared" ref="AF142:AF151" si="173">AE142-AB142</f>
        <v>5184.5499999999993</v>
      </c>
      <c r="AG142" s="738">
        <f t="shared" ref="AG142:AG151" si="174">8000*S142</f>
        <v>8000</v>
      </c>
      <c r="AH142" s="202">
        <f>AG142-(R142+Z142)*S142</f>
        <v>-315.45000000000073</v>
      </c>
      <c r="AI142" s="203">
        <f t="shared" ref="AI142:AI151" si="175">G142*S142</f>
        <v>5815</v>
      </c>
      <c r="AJ142" s="203">
        <f t="shared" ref="AJ142:AJ151" si="176">G142*T142</f>
        <v>0</v>
      </c>
      <c r="AK142" s="203">
        <f t="shared" ref="AK142:AK151" si="177">R142*S142</f>
        <v>6396.5</v>
      </c>
      <c r="AL142" s="203">
        <f>R142*T142</f>
        <v>0</v>
      </c>
      <c r="AM142" s="203">
        <f t="shared" ref="AM142:AN151" si="178">AK142-AI142</f>
        <v>581.5</v>
      </c>
      <c r="AN142" s="203">
        <f t="shared" si="178"/>
        <v>0</v>
      </c>
      <c r="AO142" s="205">
        <f t="shared" ref="AO142:AO151" si="179">Z142*S142</f>
        <v>1918.9499999999998</v>
      </c>
      <c r="AP142" s="205">
        <f t="shared" ref="AP142:AP151" si="180">Z142*T142</f>
        <v>0</v>
      </c>
      <c r="AQ142" s="205">
        <f t="shared" ref="AQ142:AQ151" si="181">AA142</f>
        <v>0</v>
      </c>
      <c r="AR142" s="205">
        <f t="shared" ref="AR142:AR151" si="182">W142*S142</f>
        <v>0</v>
      </c>
      <c r="AS142" s="205">
        <f t="shared" ref="AS142:AS151" si="183">W142*T142</f>
        <v>0</v>
      </c>
      <c r="AT142" s="209">
        <f t="shared" si="106"/>
        <v>6396.5</v>
      </c>
      <c r="AU142" s="209">
        <f t="shared" si="106"/>
        <v>0</v>
      </c>
      <c r="AV142" s="203"/>
      <c r="AW142" s="251">
        <f>R142*S142</f>
        <v>6396.5</v>
      </c>
      <c r="AX142" s="251"/>
      <c r="AY142" s="661"/>
      <c r="AZ142" s="661"/>
      <c r="BA142" s="661"/>
    </row>
    <row r="143" spans="2:53" s="76" customFormat="1" ht="58.5">
      <c r="B143" s="703">
        <f t="shared" ref="B143:B206" si="184">1+B142</f>
        <v>103</v>
      </c>
      <c r="C143" s="197" t="s">
        <v>1068</v>
      </c>
      <c r="D143" s="198" t="s">
        <v>1083</v>
      </c>
      <c r="E143" s="703" t="s">
        <v>1084</v>
      </c>
      <c r="F143" s="703">
        <v>10</v>
      </c>
      <c r="G143" s="199">
        <v>5815</v>
      </c>
      <c r="H143" s="736"/>
      <c r="I143" s="199"/>
      <c r="J143" s="737"/>
      <c r="K143" s="201"/>
      <c r="L143" s="201"/>
      <c r="M143" s="736"/>
      <c r="N143" s="199"/>
      <c r="O143" s="736"/>
      <c r="P143" s="206"/>
      <c r="Q143" s="206"/>
      <c r="R143" s="199">
        <f t="shared" ref="R143:R151" si="185">G143+I143+K143+L143+N143+P143+Q143</f>
        <v>5815</v>
      </c>
      <c r="S143" s="199">
        <v>1</v>
      </c>
      <c r="T143" s="199"/>
      <c r="U143" s="206"/>
      <c r="V143" s="741"/>
      <c r="W143" s="206"/>
      <c r="X143" s="718">
        <v>41</v>
      </c>
      <c r="Y143" s="737">
        <v>0.3</v>
      </c>
      <c r="Z143" s="199">
        <f t="shared" ref="Z143:Z151" si="186">R143*Y143</f>
        <v>1744.5</v>
      </c>
      <c r="AA143" s="199">
        <f t="shared" ref="AA143:AA151" si="187">AH143</f>
        <v>440.5</v>
      </c>
      <c r="AB143" s="796">
        <f t="shared" ref="AB143:AB151" si="188">(R143+Z143)*S143+AA143</f>
        <v>8000</v>
      </c>
      <c r="AC143" s="738">
        <f t="shared" si="170"/>
        <v>5500</v>
      </c>
      <c r="AD143" s="738">
        <f t="shared" si="171"/>
        <v>13500</v>
      </c>
      <c r="AE143" s="202">
        <f t="shared" si="172"/>
        <v>13500</v>
      </c>
      <c r="AF143" s="202">
        <f>AE143-AB143</f>
        <v>5500</v>
      </c>
      <c r="AG143" s="738">
        <f t="shared" si="174"/>
        <v>8000</v>
      </c>
      <c r="AH143" s="202">
        <f>AG143-(R143+Z143)*S143</f>
        <v>440.5</v>
      </c>
      <c r="AI143" s="203">
        <f t="shared" si="175"/>
        <v>5815</v>
      </c>
      <c r="AJ143" s="203">
        <f t="shared" si="176"/>
        <v>0</v>
      </c>
      <c r="AK143" s="203">
        <f t="shared" si="177"/>
        <v>5815</v>
      </c>
      <c r="AL143" s="203">
        <f t="shared" ref="AL143:AL151" si="189">R143*T143</f>
        <v>0</v>
      </c>
      <c r="AM143" s="203">
        <f t="shared" si="178"/>
        <v>0</v>
      </c>
      <c r="AN143" s="203">
        <f t="shared" si="178"/>
        <v>0</v>
      </c>
      <c r="AO143" s="205">
        <f t="shared" si="179"/>
        <v>1744.5</v>
      </c>
      <c r="AP143" s="205">
        <f t="shared" si="180"/>
        <v>0</v>
      </c>
      <c r="AQ143" s="205">
        <f t="shared" si="181"/>
        <v>440.5</v>
      </c>
      <c r="AR143" s="205">
        <f t="shared" si="182"/>
        <v>0</v>
      </c>
      <c r="AS143" s="205">
        <f t="shared" si="183"/>
        <v>0</v>
      </c>
      <c r="AT143" s="209">
        <f t="shared" si="106"/>
        <v>5815</v>
      </c>
      <c r="AU143" s="209">
        <f t="shared" si="106"/>
        <v>0</v>
      </c>
      <c r="AV143" s="203"/>
      <c r="AW143" s="251">
        <f t="shared" ref="AW143:AW151" si="190">R143*S143</f>
        <v>5815</v>
      </c>
      <c r="AX143" s="251"/>
      <c r="AY143" s="661"/>
      <c r="AZ143" s="661"/>
      <c r="BA143" s="661"/>
    </row>
    <row r="144" spans="2:53" s="76" customFormat="1" ht="58.5">
      <c r="B144" s="703">
        <f t="shared" si="184"/>
        <v>104</v>
      </c>
      <c r="C144" s="197" t="s">
        <v>1068</v>
      </c>
      <c r="D144" s="198" t="s">
        <v>1085</v>
      </c>
      <c r="E144" s="703" t="s">
        <v>1086</v>
      </c>
      <c r="F144" s="703">
        <v>10</v>
      </c>
      <c r="G144" s="199">
        <v>5815</v>
      </c>
      <c r="H144" s="736"/>
      <c r="I144" s="199"/>
      <c r="J144" s="736"/>
      <c r="K144" s="199"/>
      <c r="L144" s="199"/>
      <c r="M144" s="736"/>
      <c r="N144" s="199"/>
      <c r="O144" s="736"/>
      <c r="P144" s="199"/>
      <c r="Q144" s="199"/>
      <c r="R144" s="199">
        <f t="shared" si="185"/>
        <v>5815</v>
      </c>
      <c r="S144" s="199">
        <v>1</v>
      </c>
      <c r="T144" s="199"/>
      <c r="U144" s="199"/>
      <c r="V144" s="736"/>
      <c r="W144" s="199"/>
      <c r="X144" s="718">
        <v>31</v>
      </c>
      <c r="Y144" s="737">
        <v>0.3</v>
      </c>
      <c r="Z144" s="199">
        <f t="shared" si="186"/>
        <v>1744.5</v>
      </c>
      <c r="AA144" s="199">
        <f t="shared" si="187"/>
        <v>440.5</v>
      </c>
      <c r="AB144" s="796">
        <f t="shared" si="188"/>
        <v>8000</v>
      </c>
      <c r="AC144" s="738">
        <f t="shared" si="170"/>
        <v>5500</v>
      </c>
      <c r="AD144" s="738">
        <f t="shared" si="171"/>
        <v>13500</v>
      </c>
      <c r="AE144" s="202">
        <f t="shared" si="172"/>
        <v>13500</v>
      </c>
      <c r="AF144" s="202">
        <f t="shared" si="173"/>
        <v>5500</v>
      </c>
      <c r="AG144" s="738">
        <f t="shared" si="174"/>
        <v>8000</v>
      </c>
      <c r="AH144" s="202">
        <f>AG144-(R144+Z144)*S144</f>
        <v>440.5</v>
      </c>
      <c r="AI144" s="203">
        <f t="shared" si="175"/>
        <v>5815</v>
      </c>
      <c r="AJ144" s="203">
        <f t="shared" si="176"/>
        <v>0</v>
      </c>
      <c r="AK144" s="203">
        <f t="shared" si="177"/>
        <v>5815</v>
      </c>
      <c r="AL144" s="203">
        <f t="shared" si="189"/>
        <v>0</v>
      </c>
      <c r="AM144" s="203">
        <f t="shared" si="178"/>
        <v>0</v>
      </c>
      <c r="AN144" s="203">
        <f t="shared" si="178"/>
        <v>0</v>
      </c>
      <c r="AO144" s="205">
        <f t="shared" si="179"/>
        <v>1744.5</v>
      </c>
      <c r="AP144" s="205">
        <f t="shared" si="180"/>
        <v>0</v>
      </c>
      <c r="AQ144" s="205">
        <f t="shared" si="181"/>
        <v>440.5</v>
      </c>
      <c r="AR144" s="205">
        <f t="shared" si="182"/>
        <v>0</v>
      </c>
      <c r="AS144" s="205">
        <f t="shared" si="183"/>
        <v>0</v>
      </c>
      <c r="AT144" s="209">
        <f t="shared" si="106"/>
        <v>5815</v>
      </c>
      <c r="AU144" s="209">
        <f t="shared" si="106"/>
        <v>0</v>
      </c>
      <c r="AV144" s="203"/>
      <c r="AW144" s="251">
        <f t="shared" si="190"/>
        <v>5815</v>
      </c>
      <c r="AX144" s="251"/>
      <c r="AY144" s="661"/>
      <c r="AZ144" s="661"/>
      <c r="BA144" s="661"/>
    </row>
    <row r="145" spans="2:53" s="76" customFormat="1" ht="58.5">
      <c r="B145" s="703">
        <f t="shared" si="184"/>
        <v>105</v>
      </c>
      <c r="C145" s="197" t="s">
        <v>1068</v>
      </c>
      <c r="D145" s="198" t="s">
        <v>1090</v>
      </c>
      <c r="E145" s="703" t="s">
        <v>1091</v>
      </c>
      <c r="F145" s="703">
        <v>10</v>
      </c>
      <c r="G145" s="199">
        <v>5815</v>
      </c>
      <c r="H145" s="736"/>
      <c r="I145" s="199"/>
      <c r="J145" s="736"/>
      <c r="K145" s="199"/>
      <c r="L145" s="199"/>
      <c r="M145" s="736"/>
      <c r="N145" s="199"/>
      <c r="O145" s="736"/>
      <c r="P145" s="199"/>
      <c r="Q145" s="206"/>
      <c r="R145" s="199">
        <f>G145+I145+K145+L145+N145+P145+Q145</f>
        <v>5815</v>
      </c>
      <c r="S145" s="199">
        <v>1</v>
      </c>
      <c r="T145" s="199"/>
      <c r="U145" s="206"/>
      <c r="V145" s="741"/>
      <c r="W145" s="206"/>
      <c r="X145" s="718">
        <v>16</v>
      </c>
      <c r="Y145" s="737">
        <v>0.2</v>
      </c>
      <c r="Z145" s="199">
        <f>R145*Y145</f>
        <v>1163</v>
      </c>
      <c r="AA145" s="199">
        <f t="shared" si="187"/>
        <v>1022</v>
      </c>
      <c r="AB145" s="796">
        <f t="shared" si="188"/>
        <v>8000</v>
      </c>
      <c r="AC145" s="738">
        <f t="shared" si="170"/>
        <v>5500</v>
      </c>
      <c r="AD145" s="738">
        <f t="shared" si="171"/>
        <v>13500</v>
      </c>
      <c r="AE145" s="202">
        <f t="shared" si="172"/>
        <v>13500</v>
      </c>
      <c r="AF145" s="202">
        <f t="shared" si="173"/>
        <v>5500</v>
      </c>
      <c r="AG145" s="738">
        <f t="shared" si="174"/>
        <v>8000</v>
      </c>
      <c r="AH145" s="202">
        <f t="shared" ref="AH145:AH151" si="191">AG145-(R145*S145)-Z145</f>
        <v>1022</v>
      </c>
      <c r="AI145" s="203">
        <f t="shared" si="175"/>
        <v>5815</v>
      </c>
      <c r="AJ145" s="203">
        <f t="shared" si="176"/>
        <v>0</v>
      </c>
      <c r="AK145" s="203">
        <f t="shared" si="177"/>
        <v>5815</v>
      </c>
      <c r="AL145" s="203">
        <f t="shared" si="189"/>
        <v>0</v>
      </c>
      <c r="AM145" s="203">
        <f t="shared" si="178"/>
        <v>0</v>
      </c>
      <c r="AN145" s="203">
        <f t="shared" si="178"/>
        <v>0</v>
      </c>
      <c r="AO145" s="205">
        <f t="shared" si="179"/>
        <v>1163</v>
      </c>
      <c r="AP145" s="205">
        <f t="shared" si="180"/>
        <v>0</v>
      </c>
      <c r="AQ145" s="205">
        <f t="shared" si="181"/>
        <v>1022</v>
      </c>
      <c r="AR145" s="205">
        <f t="shared" si="182"/>
        <v>0</v>
      </c>
      <c r="AS145" s="205">
        <f t="shared" si="183"/>
        <v>0</v>
      </c>
      <c r="AT145" s="209">
        <f t="shared" si="106"/>
        <v>5815</v>
      </c>
      <c r="AU145" s="209">
        <f t="shared" si="106"/>
        <v>0</v>
      </c>
      <c r="AV145" s="203"/>
      <c r="AW145" s="251">
        <f t="shared" si="190"/>
        <v>5815</v>
      </c>
      <c r="AX145" s="251"/>
      <c r="AY145" s="661"/>
      <c r="AZ145" s="661"/>
      <c r="BA145" s="661"/>
    </row>
    <row r="146" spans="2:53" s="76" customFormat="1" ht="58.5">
      <c r="B146" s="703">
        <f t="shared" si="184"/>
        <v>106</v>
      </c>
      <c r="C146" s="197" t="s">
        <v>1068</v>
      </c>
      <c r="D146" s="198" t="s">
        <v>1088</v>
      </c>
      <c r="E146" s="703" t="s">
        <v>1089</v>
      </c>
      <c r="F146" s="703">
        <v>10</v>
      </c>
      <c r="G146" s="199">
        <v>5815</v>
      </c>
      <c r="H146" s="736"/>
      <c r="I146" s="199"/>
      <c r="J146" s="736"/>
      <c r="K146" s="199"/>
      <c r="L146" s="199"/>
      <c r="M146" s="736"/>
      <c r="N146" s="199"/>
      <c r="O146" s="736"/>
      <c r="P146" s="199"/>
      <c r="Q146" s="199"/>
      <c r="R146" s="199">
        <f t="shared" si="185"/>
        <v>5815</v>
      </c>
      <c r="S146" s="199">
        <v>1</v>
      </c>
      <c r="T146" s="199"/>
      <c r="U146" s="199"/>
      <c r="V146" s="736"/>
      <c r="W146" s="199"/>
      <c r="X146" s="718">
        <v>28</v>
      </c>
      <c r="Y146" s="737">
        <v>0.3</v>
      </c>
      <c r="Z146" s="199">
        <f>R146*Y146</f>
        <v>1744.5</v>
      </c>
      <c r="AA146" s="199">
        <f t="shared" si="187"/>
        <v>440.5</v>
      </c>
      <c r="AB146" s="796">
        <f t="shared" si="188"/>
        <v>8000</v>
      </c>
      <c r="AC146" s="738">
        <f t="shared" si="170"/>
        <v>5500</v>
      </c>
      <c r="AD146" s="738">
        <f t="shared" si="171"/>
        <v>13500</v>
      </c>
      <c r="AE146" s="202">
        <f t="shared" si="172"/>
        <v>13500</v>
      </c>
      <c r="AF146" s="202">
        <f t="shared" si="173"/>
        <v>5500</v>
      </c>
      <c r="AG146" s="738">
        <f t="shared" si="174"/>
        <v>8000</v>
      </c>
      <c r="AH146" s="202">
        <f t="shared" si="191"/>
        <v>440.5</v>
      </c>
      <c r="AI146" s="203">
        <f t="shared" si="175"/>
        <v>5815</v>
      </c>
      <c r="AJ146" s="203">
        <f t="shared" si="176"/>
        <v>0</v>
      </c>
      <c r="AK146" s="203">
        <f t="shared" si="177"/>
        <v>5815</v>
      </c>
      <c r="AL146" s="203">
        <f t="shared" si="189"/>
        <v>0</v>
      </c>
      <c r="AM146" s="203">
        <f t="shared" si="178"/>
        <v>0</v>
      </c>
      <c r="AN146" s="203">
        <f t="shared" si="178"/>
        <v>0</v>
      </c>
      <c r="AO146" s="205">
        <f t="shared" si="179"/>
        <v>1744.5</v>
      </c>
      <c r="AP146" s="205">
        <f t="shared" si="180"/>
        <v>0</v>
      </c>
      <c r="AQ146" s="205">
        <f t="shared" si="181"/>
        <v>440.5</v>
      </c>
      <c r="AR146" s="205">
        <f t="shared" si="182"/>
        <v>0</v>
      </c>
      <c r="AS146" s="205">
        <f t="shared" si="183"/>
        <v>0</v>
      </c>
      <c r="AT146" s="209">
        <f t="shared" si="106"/>
        <v>5815</v>
      </c>
      <c r="AU146" s="209">
        <f t="shared" si="106"/>
        <v>0</v>
      </c>
      <c r="AV146" s="203"/>
      <c r="AW146" s="251">
        <f t="shared" si="190"/>
        <v>5815</v>
      </c>
      <c r="AX146" s="251"/>
      <c r="AY146" s="661"/>
      <c r="AZ146" s="661"/>
      <c r="BA146" s="661"/>
    </row>
    <row r="147" spans="2:53" s="76" customFormat="1" ht="87.75">
      <c r="B147" s="703">
        <f t="shared" si="184"/>
        <v>107</v>
      </c>
      <c r="C147" s="197" t="s">
        <v>1068</v>
      </c>
      <c r="D147" s="198" t="s">
        <v>171</v>
      </c>
      <c r="E147" s="703" t="s">
        <v>1087</v>
      </c>
      <c r="F147" s="703">
        <v>10</v>
      </c>
      <c r="G147" s="199">
        <v>5815</v>
      </c>
      <c r="H147" s="736"/>
      <c r="I147" s="199"/>
      <c r="J147" s="736"/>
      <c r="K147" s="199"/>
      <c r="L147" s="199"/>
      <c r="M147" s="736"/>
      <c r="N147" s="199"/>
      <c r="O147" s="736"/>
      <c r="P147" s="199"/>
      <c r="Q147" s="199"/>
      <c r="R147" s="199">
        <f t="shared" si="185"/>
        <v>5815</v>
      </c>
      <c r="S147" s="199">
        <v>1</v>
      </c>
      <c r="T147" s="199"/>
      <c r="U147" s="199"/>
      <c r="V147" s="736"/>
      <c r="W147" s="199"/>
      <c r="X147" s="718">
        <v>26</v>
      </c>
      <c r="Y147" s="737">
        <v>0.3</v>
      </c>
      <c r="Z147" s="199">
        <f t="shared" si="186"/>
        <v>1744.5</v>
      </c>
      <c r="AA147" s="199">
        <f t="shared" si="187"/>
        <v>440.5</v>
      </c>
      <c r="AB147" s="796">
        <f t="shared" si="188"/>
        <v>8000</v>
      </c>
      <c r="AC147" s="738">
        <f t="shared" si="170"/>
        <v>5500</v>
      </c>
      <c r="AD147" s="738">
        <f>AB147+AC147</f>
        <v>13500</v>
      </c>
      <c r="AE147" s="202">
        <f t="shared" si="172"/>
        <v>13500</v>
      </c>
      <c r="AF147" s="202">
        <f t="shared" si="173"/>
        <v>5500</v>
      </c>
      <c r="AG147" s="738">
        <f t="shared" si="174"/>
        <v>8000</v>
      </c>
      <c r="AH147" s="202">
        <f t="shared" si="191"/>
        <v>440.5</v>
      </c>
      <c r="AI147" s="203">
        <f t="shared" si="175"/>
        <v>5815</v>
      </c>
      <c r="AJ147" s="203">
        <f t="shared" si="176"/>
        <v>0</v>
      </c>
      <c r="AK147" s="203">
        <f t="shared" si="177"/>
        <v>5815</v>
      </c>
      <c r="AL147" s="203">
        <f t="shared" si="189"/>
        <v>0</v>
      </c>
      <c r="AM147" s="203">
        <f t="shared" si="178"/>
        <v>0</v>
      </c>
      <c r="AN147" s="203">
        <f t="shared" si="178"/>
        <v>0</v>
      </c>
      <c r="AO147" s="205">
        <f t="shared" si="179"/>
        <v>1744.5</v>
      </c>
      <c r="AP147" s="205">
        <f t="shared" si="180"/>
        <v>0</v>
      </c>
      <c r="AQ147" s="205">
        <f t="shared" si="181"/>
        <v>440.5</v>
      </c>
      <c r="AR147" s="205">
        <f t="shared" si="182"/>
        <v>0</v>
      </c>
      <c r="AS147" s="205">
        <f t="shared" si="183"/>
        <v>0</v>
      </c>
      <c r="AT147" s="209">
        <f t="shared" si="106"/>
        <v>5815</v>
      </c>
      <c r="AU147" s="209">
        <f t="shared" si="106"/>
        <v>0</v>
      </c>
      <c r="AV147" s="203"/>
      <c r="AW147" s="251">
        <f t="shared" si="190"/>
        <v>5815</v>
      </c>
      <c r="AX147" s="251"/>
      <c r="AY147" s="661"/>
      <c r="AZ147" s="661"/>
      <c r="BA147" s="661"/>
    </row>
    <row r="148" spans="2:53" s="76" customFormat="1" ht="72.75" customHeight="1">
      <c r="B148" s="703">
        <f t="shared" si="184"/>
        <v>108</v>
      </c>
      <c r="C148" s="197" t="s">
        <v>1064</v>
      </c>
      <c r="D148" s="198" t="s">
        <v>172</v>
      </c>
      <c r="E148" s="703" t="s">
        <v>1092</v>
      </c>
      <c r="F148" s="703">
        <v>9</v>
      </c>
      <c r="G148" s="199">
        <v>5527</v>
      </c>
      <c r="H148" s="736"/>
      <c r="I148" s="199"/>
      <c r="J148" s="736"/>
      <c r="K148" s="199"/>
      <c r="L148" s="199"/>
      <c r="M148" s="736"/>
      <c r="N148" s="199"/>
      <c r="O148" s="736"/>
      <c r="P148" s="199"/>
      <c r="Q148" s="199"/>
      <c r="R148" s="199">
        <f t="shared" si="185"/>
        <v>5527</v>
      </c>
      <c r="S148" s="199">
        <v>1</v>
      </c>
      <c r="T148" s="199"/>
      <c r="U148" s="199"/>
      <c r="V148" s="736"/>
      <c r="W148" s="199"/>
      <c r="X148" s="718">
        <v>36</v>
      </c>
      <c r="Y148" s="737">
        <v>0.3</v>
      </c>
      <c r="Z148" s="199">
        <f>R148*Y148</f>
        <v>1658.1</v>
      </c>
      <c r="AA148" s="199">
        <f t="shared" si="187"/>
        <v>814.90000000000009</v>
      </c>
      <c r="AB148" s="796">
        <f t="shared" si="188"/>
        <v>8000</v>
      </c>
      <c r="AC148" s="738">
        <f t="shared" si="170"/>
        <v>5500</v>
      </c>
      <c r="AD148" s="738">
        <f>AB148+AC148</f>
        <v>13500</v>
      </c>
      <c r="AE148" s="202">
        <f t="shared" si="172"/>
        <v>13500</v>
      </c>
      <c r="AF148" s="202">
        <f>AE148-AB148</f>
        <v>5500</v>
      </c>
      <c r="AG148" s="738">
        <f t="shared" si="174"/>
        <v>8000</v>
      </c>
      <c r="AH148" s="202">
        <f t="shared" si="191"/>
        <v>814.90000000000009</v>
      </c>
      <c r="AI148" s="203">
        <f t="shared" si="175"/>
        <v>5527</v>
      </c>
      <c r="AJ148" s="203">
        <f t="shared" si="176"/>
        <v>0</v>
      </c>
      <c r="AK148" s="203">
        <f t="shared" si="177"/>
        <v>5527</v>
      </c>
      <c r="AL148" s="203">
        <f t="shared" si="189"/>
        <v>0</v>
      </c>
      <c r="AM148" s="203">
        <f t="shared" si="178"/>
        <v>0</v>
      </c>
      <c r="AN148" s="203">
        <f t="shared" si="178"/>
        <v>0</v>
      </c>
      <c r="AO148" s="205">
        <f t="shared" si="179"/>
        <v>1658.1</v>
      </c>
      <c r="AP148" s="205">
        <f t="shared" si="180"/>
        <v>0</v>
      </c>
      <c r="AQ148" s="205">
        <f t="shared" si="181"/>
        <v>814.90000000000009</v>
      </c>
      <c r="AR148" s="205">
        <f t="shared" si="182"/>
        <v>0</v>
      </c>
      <c r="AS148" s="205">
        <f t="shared" si="183"/>
        <v>0</v>
      </c>
      <c r="AT148" s="209">
        <f t="shared" si="106"/>
        <v>5527</v>
      </c>
      <c r="AU148" s="209">
        <f t="shared" si="106"/>
        <v>0</v>
      </c>
      <c r="AV148" s="203"/>
      <c r="AW148" s="251">
        <f t="shared" si="190"/>
        <v>5527</v>
      </c>
      <c r="AX148" s="251"/>
      <c r="AY148" s="661"/>
      <c r="AZ148" s="661"/>
      <c r="BA148" s="661"/>
    </row>
    <row r="149" spans="2:53" s="76" customFormat="1" ht="72.75" customHeight="1">
      <c r="B149" s="703">
        <f t="shared" si="184"/>
        <v>109</v>
      </c>
      <c r="C149" s="197" t="s">
        <v>1064</v>
      </c>
      <c r="D149" s="212" t="s">
        <v>173</v>
      </c>
      <c r="E149" s="206" t="s">
        <v>1362</v>
      </c>
      <c r="F149" s="206">
        <v>10</v>
      </c>
      <c r="G149" s="199">
        <v>5815</v>
      </c>
      <c r="H149" s="736"/>
      <c r="I149" s="199"/>
      <c r="J149" s="736"/>
      <c r="K149" s="199"/>
      <c r="L149" s="199"/>
      <c r="M149" s="736"/>
      <c r="N149" s="199"/>
      <c r="O149" s="736"/>
      <c r="P149" s="199"/>
      <c r="Q149" s="199"/>
      <c r="R149" s="199">
        <f t="shared" si="185"/>
        <v>5815</v>
      </c>
      <c r="S149" s="199">
        <v>1</v>
      </c>
      <c r="T149" s="199"/>
      <c r="U149" s="199"/>
      <c r="V149" s="736"/>
      <c r="W149" s="199"/>
      <c r="X149" s="718">
        <v>22</v>
      </c>
      <c r="Y149" s="737">
        <v>0.3</v>
      </c>
      <c r="Z149" s="199">
        <f>R149*Y149</f>
        <v>1744.5</v>
      </c>
      <c r="AA149" s="199">
        <f t="shared" si="187"/>
        <v>440.5</v>
      </c>
      <c r="AB149" s="796">
        <f t="shared" si="188"/>
        <v>8000</v>
      </c>
      <c r="AC149" s="738">
        <f t="shared" si="170"/>
        <v>5500</v>
      </c>
      <c r="AD149" s="738">
        <f t="shared" si="171"/>
        <v>13500</v>
      </c>
      <c r="AE149" s="202">
        <f t="shared" si="172"/>
        <v>13500</v>
      </c>
      <c r="AF149" s="202">
        <f t="shared" si="173"/>
        <v>5500</v>
      </c>
      <c r="AG149" s="738">
        <f t="shared" si="174"/>
        <v>8000</v>
      </c>
      <c r="AH149" s="202">
        <f t="shared" si="191"/>
        <v>440.5</v>
      </c>
      <c r="AI149" s="203">
        <f t="shared" si="175"/>
        <v>5815</v>
      </c>
      <c r="AJ149" s="203">
        <f t="shared" si="176"/>
        <v>0</v>
      </c>
      <c r="AK149" s="203">
        <f t="shared" si="177"/>
        <v>5815</v>
      </c>
      <c r="AL149" s="203">
        <f t="shared" si="189"/>
        <v>0</v>
      </c>
      <c r="AM149" s="203">
        <f t="shared" si="178"/>
        <v>0</v>
      </c>
      <c r="AN149" s="203">
        <f t="shared" si="178"/>
        <v>0</v>
      </c>
      <c r="AO149" s="205">
        <f t="shared" si="179"/>
        <v>1744.5</v>
      </c>
      <c r="AP149" s="205">
        <f t="shared" si="180"/>
        <v>0</v>
      </c>
      <c r="AQ149" s="205">
        <f t="shared" si="181"/>
        <v>440.5</v>
      </c>
      <c r="AR149" s="205">
        <f t="shared" si="182"/>
        <v>0</v>
      </c>
      <c r="AS149" s="205">
        <f t="shared" si="183"/>
        <v>0</v>
      </c>
      <c r="AT149" s="209">
        <f t="shared" si="106"/>
        <v>5815</v>
      </c>
      <c r="AU149" s="209">
        <f t="shared" si="106"/>
        <v>0</v>
      </c>
      <c r="AV149" s="203"/>
      <c r="AW149" s="251">
        <f t="shared" si="190"/>
        <v>5815</v>
      </c>
      <c r="AX149" s="251"/>
      <c r="AY149" s="661"/>
      <c r="AZ149" s="661"/>
      <c r="BA149" s="661"/>
    </row>
    <row r="150" spans="2:53" s="76" customFormat="1" ht="72.75" customHeight="1">
      <c r="B150" s="703">
        <f t="shared" si="184"/>
        <v>110</v>
      </c>
      <c r="C150" s="197" t="s">
        <v>1064</v>
      </c>
      <c r="D150" s="198" t="s">
        <v>174</v>
      </c>
      <c r="E150" s="703" t="s">
        <v>1094</v>
      </c>
      <c r="F150" s="703">
        <v>10</v>
      </c>
      <c r="G150" s="199">
        <v>5815</v>
      </c>
      <c r="H150" s="736"/>
      <c r="I150" s="199"/>
      <c r="J150" s="736"/>
      <c r="K150" s="199"/>
      <c r="L150" s="199"/>
      <c r="M150" s="736"/>
      <c r="N150" s="199"/>
      <c r="O150" s="736"/>
      <c r="P150" s="199"/>
      <c r="Q150" s="199"/>
      <c r="R150" s="199">
        <f t="shared" si="185"/>
        <v>5815</v>
      </c>
      <c r="S150" s="199">
        <v>1</v>
      </c>
      <c r="T150" s="199"/>
      <c r="U150" s="199"/>
      <c r="V150" s="736"/>
      <c r="W150" s="199"/>
      <c r="X150" s="718">
        <v>33</v>
      </c>
      <c r="Y150" s="737">
        <v>0.3</v>
      </c>
      <c r="Z150" s="199">
        <f>R150*Y150</f>
        <v>1744.5</v>
      </c>
      <c r="AA150" s="199">
        <f t="shared" si="187"/>
        <v>440.5</v>
      </c>
      <c r="AB150" s="796">
        <f t="shared" si="188"/>
        <v>8000</v>
      </c>
      <c r="AC150" s="738">
        <f t="shared" si="170"/>
        <v>5500</v>
      </c>
      <c r="AD150" s="738">
        <f t="shared" si="171"/>
        <v>13500</v>
      </c>
      <c r="AE150" s="202">
        <f t="shared" si="172"/>
        <v>13500</v>
      </c>
      <c r="AF150" s="202">
        <f t="shared" si="173"/>
        <v>5500</v>
      </c>
      <c r="AG150" s="738">
        <f t="shared" si="174"/>
        <v>8000</v>
      </c>
      <c r="AH150" s="202">
        <f t="shared" si="191"/>
        <v>440.5</v>
      </c>
      <c r="AI150" s="203">
        <f t="shared" si="175"/>
        <v>5815</v>
      </c>
      <c r="AJ150" s="203">
        <f t="shared" si="176"/>
        <v>0</v>
      </c>
      <c r="AK150" s="203">
        <f t="shared" si="177"/>
        <v>5815</v>
      </c>
      <c r="AL150" s="203">
        <f t="shared" si="189"/>
        <v>0</v>
      </c>
      <c r="AM150" s="203">
        <f t="shared" si="178"/>
        <v>0</v>
      </c>
      <c r="AN150" s="203">
        <f t="shared" si="178"/>
        <v>0</v>
      </c>
      <c r="AO150" s="205">
        <f t="shared" si="179"/>
        <v>1744.5</v>
      </c>
      <c r="AP150" s="205">
        <f t="shared" si="180"/>
        <v>0</v>
      </c>
      <c r="AQ150" s="205">
        <f t="shared" si="181"/>
        <v>440.5</v>
      </c>
      <c r="AR150" s="205">
        <f t="shared" si="182"/>
        <v>0</v>
      </c>
      <c r="AS150" s="205">
        <f t="shared" si="183"/>
        <v>0</v>
      </c>
      <c r="AT150" s="209">
        <f t="shared" si="106"/>
        <v>5815</v>
      </c>
      <c r="AU150" s="209">
        <f t="shared" si="106"/>
        <v>0</v>
      </c>
      <c r="AV150" s="203"/>
      <c r="AW150" s="251">
        <f t="shared" si="190"/>
        <v>5815</v>
      </c>
      <c r="AX150" s="251"/>
      <c r="AY150" s="661"/>
      <c r="AZ150" s="661"/>
      <c r="BA150" s="661"/>
    </row>
    <row r="151" spans="2:53" s="76" customFormat="1" ht="72.75" customHeight="1">
      <c r="B151" s="703">
        <f t="shared" si="184"/>
        <v>111</v>
      </c>
      <c r="C151" s="197" t="s">
        <v>1064</v>
      </c>
      <c r="D151" s="198" t="s">
        <v>175</v>
      </c>
      <c r="E151" s="703" t="s">
        <v>1095</v>
      </c>
      <c r="F151" s="703">
        <v>10</v>
      </c>
      <c r="G151" s="199">
        <v>5815</v>
      </c>
      <c r="H151" s="736"/>
      <c r="I151" s="199"/>
      <c r="J151" s="736"/>
      <c r="K151" s="199"/>
      <c r="L151" s="199"/>
      <c r="M151" s="736"/>
      <c r="N151" s="199"/>
      <c r="O151" s="736"/>
      <c r="P151" s="199"/>
      <c r="Q151" s="199"/>
      <c r="R151" s="199">
        <f t="shared" si="185"/>
        <v>5815</v>
      </c>
      <c r="S151" s="199">
        <v>1</v>
      </c>
      <c r="T151" s="199"/>
      <c r="U151" s="199"/>
      <c r="V151" s="736"/>
      <c r="W151" s="199"/>
      <c r="X151" s="718">
        <v>29</v>
      </c>
      <c r="Y151" s="737">
        <v>0.3</v>
      </c>
      <c r="Z151" s="199">
        <f t="shared" si="186"/>
        <v>1744.5</v>
      </c>
      <c r="AA151" s="199">
        <f t="shared" si="187"/>
        <v>440.5</v>
      </c>
      <c r="AB151" s="796">
        <f t="shared" si="188"/>
        <v>8000</v>
      </c>
      <c r="AC151" s="738">
        <f t="shared" si="170"/>
        <v>5500</v>
      </c>
      <c r="AD151" s="738">
        <f t="shared" si="171"/>
        <v>13500</v>
      </c>
      <c r="AE151" s="202">
        <f t="shared" si="172"/>
        <v>13500</v>
      </c>
      <c r="AF151" s="202">
        <f t="shared" si="173"/>
        <v>5500</v>
      </c>
      <c r="AG151" s="738">
        <f t="shared" si="174"/>
        <v>8000</v>
      </c>
      <c r="AH151" s="202">
        <f t="shared" si="191"/>
        <v>440.5</v>
      </c>
      <c r="AI151" s="203">
        <f t="shared" si="175"/>
        <v>5815</v>
      </c>
      <c r="AJ151" s="203">
        <f t="shared" si="176"/>
        <v>0</v>
      </c>
      <c r="AK151" s="203">
        <f t="shared" si="177"/>
        <v>5815</v>
      </c>
      <c r="AL151" s="203">
        <f t="shared" si="189"/>
        <v>0</v>
      </c>
      <c r="AM151" s="203">
        <f t="shared" si="178"/>
        <v>0</v>
      </c>
      <c r="AN151" s="203">
        <f t="shared" si="178"/>
        <v>0</v>
      </c>
      <c r="AO151" s="205">
        <f t="shared" si="179"/>
        <v>1744.5</v>
      </c>
      <c r="AP151" s="205">
        <f t="shared" si="180"/>
        <v>0</v>
      </c>
      <c r="AQ151" s="205">
        <f t="shared" si="181"/>
        <v>440.5</v>
      </c>
      <c r="AR151" s="205">
        <f t="shared" si="182"/>
        <v>0</v>
      </c>
      <c r="AS151" s="205">
        <f t="shared" si="183"/>
        <v>0</v>
      </c>
      <c r="AT151" s="209">
        <f t="shared" si="106"/>
        <v>5815</v>
      </c>
      <c r="AU151" s="209">
        <f t="shared" si="106"/>
        <v>0</v>
      </c>
      <c r="AV151" s="203"/>
      <c r="AW151" s="251">
        <f t="shared" si="190"/>
        <v>5815</v>
      </c>
      <c r="AX151" s="251"/>
      <c r="AY151" s="661"/>
      <c r="AZ151" s="661"/>
      <c r="BA151" s="661"/>
    </row>
    <row r="152" spans="2:53" s="76" customFormat="1" ht="31.5">
      <c r="B152" s="703"/>
      <c r="C152" s="180" t="s">
        <v>1736</v>
      </c>
      <c r="D152" s="207"/>
      <c r="E152" s="193"/>
      <c r="F152" s="193"/>
      <c r="G152" s="183">
        <f>SUM(G142:G151)</f>
        <v>57862</v>
      </c>
      <c r="H152" s="752"/>
      <c r="I152" s="183">
        <f>SUM(I142:I151)</f>
        <v>581.5</v>
      </c>
      <c r="J152" s="731"/>
      <c r="K152" s="193"/>
      <c r="L152" s="193"/>
      <c r="M152" s="731"/>
      <c r="N152" s="193"/>
      <c r="O152" s="731"/>
      <c r="P152" s="184"/>
      <c r="Q152" s="193"/>
      <c r="R152" s="183">
        <f>SUM(R142:R151)</f>
        <v>58443.5</v>
      </c>
      <c r="S152" s="183">
        <f>SUM(S142:S151)</f>
        <v>10</v>
      </c>
      <c r="T152" s="183">
        <f>SUM(T142:T151)</f>
        <v>0</v>
      </c>
      <c r="U152" s="183"/>
      <c r="V152" s="742"/>
      <c r="W152" s="183"/>
      <c r="X152" s="742"/>
      <c r="Y152" s="742"/>
      <c r="Z152" s="183">
        <f t="shared" ref="Z152:AV152" si="192">SUM(Z142:Z151)</f>
        <v>16951.550000000003</v>
      </c>
      <c r="AA152" s="183">
        <f t="shared" si="192"/>
        <v>4920.3999999999996</v>
      </c>
      <c r="AB152" s="797">
        <f t="shared" si="192"/>
        <v>80315.45</v>
      </c>
      <c r="AC152" s="183">
        <f t="shared" si="192"/>
        <v>54684.55</v>
      </c>
      <c r="AD152" s="183">
        <f>SUM(AD142:AD151)</f>
        <v>135000</v>
      </c>
      <c r="AE152" s="183">
        <f t="shared" si="192"/>
        <v>135000</v>
      </c>
      <c r="AF152" s="183">
        <f t="shared" si="192"/>
        <v>54684.55</v>
      </c>
      <c r="AG152" s="183">
        <f>SUM(AG142:AG151)</f>
        <v>80000</v>
      </c>
      <c r="AH152" s="183">
        <f t="shared" si="192"/>
        <v>4604.9499999999989</v>
      </c>
      <c r="AI152" s="183">
        <f t="shared" si="192"/>
        <v>57862</v>
      </c>
      <c r="AJ152" s="183">
        <f t="shared" si="192"/>
        <v>0</v>
      </c>
      <c r="AK152" s="183">
        <f t="shared" si="192"/>
        <v>58443.5</v>
      </c>
      <c r="AL152" s="183">
        <f t="shared" si="192"/>
        <v>0</v>
      </c>
      <c r="AM152" s="183">
        <f t="shared" si="192"/>
        <v>581.5</v>
      </c>
      <c r="AN152" s="183">
        <f t="shared" si="192"/>
        <v>0</v>
      </c>
      <c r="AO152" s="183">
        <f t="shared" si="192"/>
        <v>16951.550000000003</v>
      </c>
      <c r="AP152" s="183">
        <f t="shared" si="192"/>
        <v>0</v>
      </c>
      <c r="AQ152" s="183">
        <f t="shared" si="192"/>
        <v>4920.3999999999996</v>
      </c>
      <c r="AR152" s="183">
        <f t="shared" si="192"/>
        <v>0</v>
      </c>
      <c r="AS152" s="183">
        <f t="shared" si="192"/>
        <v>0</v>
      </c>
      <c r="AT152" s="183">
        <f t="shared" si="192"/>
        <v>58443.5</v>
      </c>
      <c r="AU152" s="183">
        <f t="shared" si="192"/>
        <v>0</v>
      </c>
      <c r="AV152" s="183">
        <f t="shared" si="192"/>
        <v>0</v>
      </c>
      <c r="AW152" s="183">
        <f>SUM(AW142:AW151)</f>
        <v>58443.5</v>
      </c>
      <c r="AX152" s="183">
        <f>SUM(AX142:AX151)</f>
        <v>0</v>
      </c>
      <c r="AY152" s="661"/>
      <c r="AZ152" s="661"/>
      <c r="BA152" s="661"/>
    </row>
    <row r="153" spans="2:53" s="76" customFormat="1" ht="33">
      <c r="B153" s="703"/>
      <c r="C153" s="220" t="s">
        <v>1874</v>
      </c>
      <c r="D153" s="207"/>
      <c r="E153" s="193"/>
      <c r="F153" s="193"/>
      <c r="G153" s="183"/>
      <c r="H153" s="752"/>
      <c r="I153" s="183"/>
      <c r="J153" s="731"/>
      <c r="K153" s="193"/>
      <c r="L153" s="193"/>
      <c r="M153" s="731"/>
      <c r="N153" s="193"/>
      <c r="O153" s="731"/>
      <c r="P153" s="184"/>
      <c r="Q153" s="193"/>
      <c r="R153" s="183"/>
      <c r="S153" s="183"/>
      <c r="T153" s="183"/>
      <c r="U153" s="183"/>
      <c r="V153" s="742"/>
      <c r="W153" s="183"/>
      <c r="X153" s="742"/>
      <c r="Y153" s="742"/>
      <c r="Z153" s="183"/>
      <c r="AA153" s="183"/>
      <c r="AB153" s="797"/>
      <c r="AC153" s="208"/>
      <c r="AD153" s="208"/>
      <c r="AE153" s="208"/>
      <c r="AF153" s="208"/>
      <c r="AG153" s="208"/>
      <c r="AH153" s="208"/>
      <c r="AI153" s="203"/>
      <c r="AJ153" s="203"/>
      <c r="AK153" s="203"/>
      <c r="AL153" s="203"/>
      <c r="AM153" s="203"/>
      <c r="AN153" s="203"/>
      <c r="AO153" s="205"/>
      <c r="AP153" s="205"/>
      <c r="AQ153" s="205"/>
      <c r="AR153" s="205"/>
      <c r="AS153" s="205"/>
      <c r="AT153" s="209"/>
      <c r="AU153" s="209"/>
      <c r="AV153" s="203"/>
      <c r="AW153" s="251"/>
      <c r="AX153" s="251"/>
      <c r="AY153" s="661"/>
      <c r="AZ153" s="661"/>
      <c r="BA153" s="661"/>
    </row>
    <row r="154" spans="2:53" s="76" customFormat="1" ht="94.5">
      <c r="B154" s="703">
        <f>B151+1</f>
        <v>112</v>
      </c>
      <c r="C154" s="197" t="s">
        <v>1188</v>
      </c>
      <c r="D154" s="198"/>
      <c r="E154" s="703" t="s">
        <v>1189</v>
      </c>
      <c r="F154" s="703">
        <v>3</v>
      </c>
      <c r="G154" s="199">
        <v>3770</v>
      </c>
      <c r="H154" s="736"/>
      <c r="I154" s="199"/>
      <c r="J154" s="741"/>
      <c r="K154" s="206"/>
      <c r="L154" s="206"/>
      <c r="M154" s="741"/>
      <c r="N154" s="206"/>
      <c r="O154" s="741"/>
      <c r="P154" s="206"/>
      <c r="Q154" s="206"/>
      <c r="R154" s="199">
        <f>G154+I154+K154+L154+N154+P154+Q154</f>
        <v>3770</v>
      </c>
      <c r="S154" s="199">
        <v>1</v>
      </c>
      <c r="T154" s="206"/>
      <c r="U154" s="206"/>
      <c r="V154" s="737">
        <v>0.1</v>
      </c>
      <c r="W154" s="199">
        <f>R154*V154</f>
        <v>377</v>
      </c>
      <c r="X154" s="718"/>
      <c r="Y154" s="737"/>
      <c r="Z154" s="199"/>
      <c r="AA154" s="199">
        <f>AH154</f>
        <v>4230</v>
      </c>
      <c r="AB154" s="796">
        <f>(R154+Z154+U154+W154)*S154+AA154</f>
        <v>8377</v>
      </c>
      <c r="AC154" s="738">
        <f>AF154</f>
        <v>0</v>
      </c>
      <c r="AD154" s="738">
        <f>AB154+AC154</f>
        <v>8377</v>
      </c>
      <c r="AE154" s="202">
        <f>AB154</f>
        <v>8377</v>
      </c>
      <c r="AF154" s="202">
        <f>AE154-AB154</f>
        <v>0</v>
      </c>
      <c r="AG154" s="738">
        <f>8000*S154</f>
        <v>8000</v>
      </c>
      <c r="AH154" s="202">
        <f>AG154-(R154*S154)</f>
        <v>4230</v>
      </c>
      <c r="AI154" s="203">
        <f>G154*S154</f>
        <v>3770</v>
      </c>
      <c r="AJ154" s="203">
        <f>G154*T154</f>
        <v>0</v>
      </c>
      <c r="AK154" s="203">
        <f>R154*S154</f>
        <v>3770</v>
      </c>
      <c r="AL154" s="203">
        <f>R154*T154</f>
        <v>0</v>
      </c>
      <c r="AM154" s="203">
        <f t="shared" ref="AM154:AN158" si="193">AK154-AI154</f>
        <v>0</v>
      </c>
      <c r="AN154" s="203">
        <f t="shared" si="193"/>
        <v>0</v>
      </c>
      <c r="AO154" s="205">
        <f>Z154*S154</f>
        <v>0</v>
      </c>
      <c r="AP154" s="205">
        <f>Z154*T154</f>
        <v>0</v>
      </c>
      <c r="AQ154" s="205">
        <f>AA154</f>
        <v>4230</v>
      </c>
      <c r="AR154" s="205">
        <f>W154*S154</f>
        <v>377</v>
      </c>
      <c r="AS154" s="205">
        <f>W154*T154</f>
        <v>0</v>
      </c>
      <c r="AT154" s="209">
        <f t="shared" ref="AT154:AU215" si="194">AK154</f>
        <v>3770</v>
      </c>
      <c r="AU154" s="209">
        <f t="shared" si="194"/>
        <v>0</v>
      </c>
      <c r="AV154" s="203"/>
      <c r="AW154" s="251">
        <f>R154*S154</f>
        <v>3770</v>
      </c>
      <c r="AX154" s="251"/>
      <c r="AY154" s="661"/>
      <c r="AZ154" s="661"/>
      <c r="BA154" s="661"/>
    </row>
    <row r="155" spans="2:53" s="76" customFormat="1" ht="94.5">
      <c r="B155" s="703">
        <f t="shared" si="184"/>
        <v>113</v>
      </c>
      <c r="C155" s="197" t="s">
        <v>1188</v>
      </c>
      <c r="D155" s="198"/>
      <c r="E155" s="703" t="s">
        <v>1813</v>
      </c>
      <c r="F155" s="703">
        <v>3</v>
      </c>
      <c r="G155" s="199">
        <v>3770</v>
      </c>
      <c r="H155" s="736"/>
      <c r="I155" s="199"/>
      <c r="J155" s="736"/>
      <c r="K155" s="199"/>
      <c r="L155" s="199"/>
      <c r="M155" s="736"/>
      <c r="N155" s="199"/>
      <c r="O155" s="736"/>
      <c r="P155" s="199"/>
      <c r="Q155" s="199"/>
      <c r="R155" s="199">
        <f>G155+I155+K155+L155+N155+P155+Q155</f>
        <v>3770</v>
      </c>
      <c r="S155" s="199">
        <v>1</v>
      </c>
      <c r="T155" s="199"/>
      <c r="U155" s="199"/>
      <c r="V155" s="737">
        <v>0.1</v>
      </c>
      <c r="W155" s="199">
        <f>R155*V155</f>
        <v>377</v>
      </c>
      <c r="X155" s="718"/>
      <c r="Y155" s="737"/>
      <c r="Z155" s="199"/>
      <c r="AA155" s="199">
        <f>AH155</f>
        <v>4230</v>
      </c>
      <c r="AB155" s="796">
        <f>(R155+Z155+U155+W155)*S155+AA155</f>
        <v>8377</v>
      </c>
      <c r="AC155" s="738">
        <f>AF155</f>
        <v>0</v>
      </c>
      <c r="AD155" s="738">
        <f>AB155+AC155</f>
        <v>8377</v>
      </c>
      <c r="AE155" s="202">
        <f>AB155</f>
        <v>8377</v>
      </c>
      <c r="AF155" s="202">
        <f>AE155-AB155</f>
        <v>0</v>
      </c>
      <c r="AG155" s="738">
        <f>8000*S155</f>
        <v>8000</v>
      </c>
      <c r="AH155" s="202">
        <f>AG155-(R155*S155)</f>
        <v>4230</v>
      </c>
      <c r="AI155" s="203">
        <f>G155*S155</f>
        <v>3770</v>
      </c>
      <c r="AJ155" s="203">
        <f>G155*T155</f>
        <v>0</v>
      </c>
      <c r="AK155" s="203">
        <f>R155*S155</f>
        <v>3770</v>
      </c>
      <c r="AL155" s="203">
        <f>R155*T155</f>
        <v>0</v>
      </c>
      <c r="AM155" s="203">
        <f t="shared" si="193"/>
        <v>0</v>
      </c>
      <c r="AN155" s="203">
        <f t="shared" si="193"/>
        <v>0</v>
      </c>
      <c r="AO155" s="205">
        <f>Z155*S155</f>
        <v>0</v>
      </c>
      <c r="AP155" s="205">
        <f>Z155*T155</f>
        <v>0</v>
      </c>
      <c r="AQ155" s="205">
        <f>AA155</f>
        <v>4230</v>
      </c>
      <c r="AR155" s="205">
        <f>W155*S155</f>
        <v>377</v>
      </c>
      <c r="AS155" s="205">
        <f>W155*T155</f>
        <v>0</v>
      </c>
      <c r="AT155" s="209">
        <f t="shared" si="194"/>
        <v>3770</v>
      </c>
      <c r="AU155" s="209">
        <f t="shared" si="194"/>
        <v>0</v>
      </c>
      <c r="AV155" s="203"/>
      <c r="AW155" s="251">
        <f>R155*S155</f>
        <v>3770</v>
      </c>
      <c r="AX155" s="251"/>
      <c r="AY155" s="661"/>
      <c r="AZ155" s="661"/>
      <c r="BA155" s="661"/>
    </row>
    <row r="156" spans="2:53" s="76" customFormat="1" ht="94.5">
      <c r="B156" s="703">
        <f t="shared" si="184"/>
        <v>114</v>
      </c>
      <c r="C156" s="197" t="s">
        <v>1188</v>
      </c>
      <c r="D156" s="198"/>
      <c r="E156" s="703" t="s">
        <v>1190</v>
      </c>
      <c r="F156" s="703">
        <v>3</v>
      </c>
      <c r="G156" s="199">
        <v>3770</v>
      </c>
      <c r="H156" s="736"/>
      <c r="I156" s="199"/>
      <c r="J156" s="736"/>
      <c r="K156" s="199"/>
      <c r="L156" s="199"/>
      <c r="M156" s="736"/>
      <c r="N156" s="199"/>
      <c r="O156" s="736"/>
      <c r="P156" s="199"/>
      <c r="Q156" s="199"/>
      <c r="R156" s="199">
        <f>G156+I156+K156+L156+N156+P156+Q156</f>
        <v>3770</v>
      </c>
      <c r="S156" s="199">
        <v>1</v>
      </c>
      <c r="T156" s="199"/>
      <c r="U156" s="199"/>
      <c r="V156" s="737">
        <v>0.1</v>
      </c>
      <c r="W156" s="199">
        <f>R156*V156</f>
        <v>377</v>
      </c>
      <c r="X156" s="718"/>
      <c r="Y156" s="737"/>
      <c r="Z156" s="199"/>
      <c r="AA156" s="199">
        <f>AH156</f>
        <v>4230</v>
      </c>
      <c r="AB156" s="796">
        <f>(R156+Z156+U156+W156)*S156+AA156</f>
        <v>8377</v>
      </c>
      <c r="AC156" s="738">
        <f>AF156</f>
        <v>0</v>
      </c>
      <c r="AD156" s="738">
        <f>AB156+AC156</f>
        <v>8377</v>
      </c>
      <c r="AE156" s="202">
        <f>AB156</f>
        <v>8377</v>
      </c>
      <c r="AF156" s="202">
        <f>AE156-AB156</f>
        <v>0</v>
      </c>
      <c r="AG156" s="738">
        <f>8000*S156</f>
        <v>8000</v>
      </c>
      <c r="AH156" s="202">
        <f>AG156-(R156*S156)</f>
        <v>4230</v>
      </c>
      <c r="AI156" s="203">
        <f>G156*S156</f>
        <v>3770</v>
      </c>
      <c r="AJ156" s="203">
        <f>G156*T156</f>
        <v>0</v>
      </c>
      <c r="AK156" s="203">
        <f>R156*S156</f>
        <v>3770</v>
      </c>
      <c r="AL156" s="203">
        <f>R156*T156</f>
        <v>0</v>
      </c>
      <c r="AM156" s="203">
        <f t="shared" si="193"/>
        <v>0</v>
      </c>
      <c r="AN156" s="203">
        <f t="shared" si="193"/>
        <v>0</v>
      </c>
      <c r="AO156" s="205">
        <f>Z156*S156</f>
        <v>0</v>
      </c>
      <c r="AP156" s="205">
        <f>Z156*T156</f>
        <v>0</v>
      </c>
      <c r="AQ156" s="205">
        <f>AA156</f>
        <v>4230</v>
      </c>
      <c r="AR156" s="205">
        <f>W156*S156</f>
        <v>377</v>
      </c>
      <c r="AS156" s="205">
        <f>W156*T156</f>
        <v>0</v>
      </c>
      <c r="AT156" s="209">
        <f t="shared" si="194"/>
        <v>3770</v>
      </c>
      <c r="AU156" s="209">
        <f t="shared" si="194"/>
        <v>0</v>
      </c>
      <c r="AV156" s="203"/>
      <c r="AW156" s="251">
        <f>R156*S156</f>
        <v>3770</v>
      </c>
      <c r="AX156" s="251"/>
      <c r="AY156" s="661"/>
      <c r="AZ156" s="661"/>
      <c r="BA156" s="661"/>
    </row>
    <row r="157" spans="2:53" s="76" customFormat="1" ht="94.5">
      <c r="B157" s="703">
        <f t="shared" si="184"/>
        <v>115</v>
      </c>
      <c r="C157" s="197" t="s">
        <v>1188</v>
      </c>
      <c r="D157" s="198"/>
      <c r="E157" s="703" t="s">
        <v>1191</v>
      </c>
      <c r="F157" s="703">
        <v>3</v>
      </c>
      <c r="G157" s="199">
        <v>3770</v>
      </c>
      <c r="H157" s="736"/>
      <c r="I157" s="199"/>
      <c r="J157" s="736"/>
      <c r="K157" s="199"/>
      <c r="L157" s="199"/>
      <c r="M157" s="736"/>
      <c r="N157" s="199"/>
      <c r="O157" s="736"/>
      <c r="P157" s="199"/>
      <c r="Q157" s="199"/>
      <c r="R157" s="199">
        <f>G157+I157+K157+L157+N157+P157+Q157</f>
        <v>3770</v>
      </c>
      <c r="S157" s="199">
        <v>1</v>
      </c>
      <c r="T157" s="199"/>
      <c r="U157" s="199"/>
      <c r="V157" s="737">
        <v>0.1</v>
      </c>
      <c r="W157" s="199">
        <f>R157*V157</f>
        <v>377</v>
      </c>
      <c r="X157" s="718"/>
      <c r="Y157" s="737"/>
      <c r="Z157" s="199"/>
      <c r="AA157" s="199">
        <f>AH157</f>
        <v>4230</v>
      </c>
      <c r="AB157" s="796">
        <f>(R157+Z157+U157+W157)*S157+AA157</f>
        <v>8377</v>
      </c>
      <c r="AC157" s="738">
        <f>AF157</f>
        <v>0</v>
      </c>
      <c r="AD157" s="738">
        <f>AB157+AC157</f>
        <v>8377</v>
      </c>
      <c r="AE157" s="202">
        <f>AB157</f>
        <v>8377</v>
      </c>
      <c r="AF157" s="202">
        <f>AE157-AB157</f>
        <v>0</v>
      </c>
      <c r="AG157" s="738">
        <f>8000*S157</f>
        <v>8000</v>
      </c>
      <c r="AH157" s="202">
        <f>AG157-(R157*S157)</f>
        <v>4230</v>
      </c>
      <c r="AI157" s="203">
        <f>G157*S157</f>
        <v>3770</v>
      </c>
      <c r="AJ157" s="203">
        <f>G157*T157</f>
        <v>0</v>
      </c>
      <c r="AK157" s="203">
        <f>R157*S157</f>
        <v>3770</v>
      </c>
      <c r="AL157" s="203">
        <f>R157*T157</f>
        <v>0</v>
      </c>
      <c r="AM157" s="203">
        <f t="shared" si="193"/>
        <v>0</v>
      </c>
      <c r="AN157" s="203">
        <f t="shared" si="193"/>
        <v>0</v>
      </c>
      <c r="AO157" s="205">
        <f>Z157*S157</f>
        <v>0</v>
      </c>
      <c r="AP157" s="205">
        <f>Z157*T157</f>
        <v>0</v>
      </c>
      <c r="AQ157" s="205">
        <f>AA157</f>
        <v>4230</v>
      </c>
      <c r="AR157" s="205">
        <f>W157*S157</f>
        <v>377</v>
      </c>
      <c r="AS157" s="205">
        <f>W157*T157</f>
        <v>0</v>
      </c>
      <c r="AT157" s="209">
        <f t="shared" si="194"/>
        <v>3770</v>
      </c>
      <c r="AU157" s="209">
        <f t="shared" si="194"/>
        <v>0</v>
      </c>
      <c r="AV157" s="203"/>
      <c r="AW157" s="251">
        <f>R157*S157</f>
        <v>3770</v>
      </c>
      <c r="AX157" s="251"/>
      <c r="AY157" s="661"/>
      <c r="AZ157" s="661"/>
      <c r="BA157" s="661"/>
    </row>
    <row r="158" spans="2:53" s="76" customFormat="1" ht="94.5">
      <c r="B158" s="703">
        <f t="shared" si="184"/>
        <v>116</v>
      </c>
      <c r="C158" s="197" t="s">
        <v>1188</v>
      </c>
      <c r="D158" s="198"/>
      <c r="E158" s="703" t="s">
        <v>1192</v>
      </c>
      <c r="F158" s="703">
        <v>3</v>
      </c>
      <c r="G158" s="199">
        <v>3770</v>
      </c>
      <c r="H158" s="736"/>
      <c r="I158" s="199"/>
      <c r="J158" s="736"/>
      <c r="K158" s="199"/>
      <c r="L158" s="199"/>
      <c r="M158" s="736"/>
      <c r="N158" s="199"/>
      <c r="O158" s="736"/>
      <c r="P158" s="206"/>
      <c r="Q158" s="206"/>
      <c r="R158" s="199">
        <f>G158+I158+K158+L158+N158+P158+Q158</f>
        <v>3770</v>
      </c>
      <c r="S158" s="199">
        <v>1</v>
      </c>
      <c r="T158" s="199"/>
      <c r="U158" s="199"/>
      <c r="V158" s="737">
        <v>0.1</v>
      </c>
      <c r="W158" s="199">
        <f>R158*V158</f>
        <v>377</v>
      </c>
      <c r="X158" s="718"/>
      <c r="Y158" s="737"/>
      <c r="Z158" s="199"/>
      <c r="AA158" s="199">
        <f>AH158</f>
        <v>4230</v>
      </c>
      <c r="AB158" s="796">
        <f>(R158+Z158+U158+W158)*S158+AA158</f>
        <v>8377</v>
      </c>
      <c r="AC158" s="738">
        <f>AF158</f>
        <v>0</v>
      </c>
      <c r="AD158" s="738">
        <f>AB158+AC158</f>
        <v>8377</v>
      </c>
      <c r="AE158" s="202">
        <f>AB158</f>
        <v>8377</v>
      </c>
      <c r="AF158" s="202">
        <f>AE158-AB158</f>
        <v>0</v>
      </c>
      <c r="AG158" s="738">
        <f>8000*S158</f>
        <v>8000</v>
      </c>
      <c r="AH158" s="202">
        <f>AG158-(R158*S158)</f>
        <v>4230</v>
      </c>
      <c r="AI158" s="203">
        <f>G158*S158</f>
        <v>3770</v>
      </c>
      <c r="AJ158" s="203">
        <f>G158*T158</f>
        <v>0</v>
      </c>
      <c r="AK158" s="203">
        <f>R158*S158</f>
        <v>3770</v>
      </c>
      <c r="AL158" s="203">
        <f>R158*T158</f>
        <v>0</v>
      </c>
      <c r="AM158" s="203">
        <f t="shared" si="193"/>
        <v>0</v>
      </c>
      <c r="AN158" s="203">
        <f t="shared" si="193"/>
        <v>0</v>
      </c>
      <c r="AO158" s="205">
        <f>Z158*S158</f>
        <v>0</v>
      </c>
      <c r="AP158" s="205">
        <f>Z158*T158</f>
        <v>0</v>
      </c>
      <c r="AQ158" s="205">
        <f>AA158</f>
        <v>4230</v>
      </c>
      <c r="AR158" s="205">
        <f>W158*S158</f>
        <v>377</v>
      </c>
      <c r="AS158" s="205">
        <f>W158*T158</f>
        <v>0</v>
      </c>
      <c r="AT158" s="209">
        <f t="shared" si="194"/>
        <v>3770</v>
      </c>
      <c r="AU158" s="209">
        <f t="shared" si="194"/>
        <v>0</v>
      </c>
      <c r="AV158" s="203"/>
      <c r="AW158" s="251">
        <f>R158*S158</f>
        <v>3770</v>
      </c>
      <c r="AX158" s="251"/>
      <c r="AY158" s="661"/>
      <c r="AZ158" s="661"/>
      <c r="BA158" s="661"/>
    </row>
    <row r="159" spans="2:53" s="76" customFormat="1" ht="31.5">
      <c r="B159" s="703"/>
      <c r="C159" s="180" t="s">
        <v>1736</v>
      </c>
      <c r="D159" s="207"/>
      <c r="E159" s="193"/>
      <c r="F159" s="193"/>
      <c r="G159" s="184">
        <f>SUM(G154:G158)</f>
        <v>18850</v>
      </c>
      <c r="H159" s="747"/>
      <c r="I159" s="184"/>
      <c r="J159" s="747"/>
      <c r="K159" s="184"/>
      <c r="L159" s="184"/>
      <c r="M159" s="747"/>
      <c r="N159" s="184"/>
      <c r="O159" s="747"/>
      <c r="P159" s="184"/>
      <c r="Q159" s="184"/>
      <c r="R159" s="184">
        <f>SUM(R154:R158)</f>
        <v>18850</v>
      </c>
      <c r="S159" s="183">
        <f>SUM(S154:S158)</f>
        <v>5</v>
      </c>
      <c r="T159" s="183">
        <f>SUM(T154:T158)</f>
        <v>0</v>
      </c>
      <c r="U159" s="184"/>
      <c r="V159" s="748"/>
      <c r="W159" s="184">
        <f>SUM(W154:W158)</f>
        <v>1885</v>
      </c>
      <c r="X159" s="748"/>
      <c r="Y159" s="748"/>
      <c r="Z159" s="184"/>
      <c r="AA159" s="183">
        <f>SUM(AA154:AA158)</f>
        <v>21150</v>
      </c>
      <c r="AB159" s="797">
        <f>SUM(AB154:AB158)</f>
        <v>41885</v>
      </c>
      <c r="AC159" s="183">
        <f t="shared" ref="AC159:AV159" si="195">SUM(AC154:AC158)</f>
        <v>0</v>
      </c>
      <c r="AD159" s="183">
        <f>SUM(AD154:AD158)</f>
        <v>41885</v>
      </c>
      <c r="AE159" s="183">
        <f t="shared" si="195"/>
        <v>41885</v>
      </c>
      <c r="AF159" s="183">
        <f t="shared" si="195"/>
        <v>0</v>
      </c>
      <c r="AG159" s="183">
        <f>SUM(AG154:AG158)</f>
        <v>40000</v>
      </c>
      <c r="AH159" s="183">
        <f t="shared" si="195"/>
        <v>21150</v>
      </c>
      <c r="AI159" s="183">
        <f t="shared" si="195"/>
        <v>18850</v>
      </c>
      <c r="AJ159" s="183">
        <f t="shared" si="195"/>
        <v>0</v>
      </c>
      <c r="AK159" s="183">
        <f t="shared" si="195"/>
        <v>18850</v>
      </c>
      <c r="AL159" s="183">
        <f t="shared" si="195"/>
        <v>0</v>
      </c>
      <c r="AM159" s="183">
        <f t="shared" si="195"/>
        <v>0</v>
      </c>
      <c r="AN159" s="183">
        <f t="shared" si="195"/>
        <v>0</v>
      </c>
      <c r="AO159" s="183">
        <f t="shared" si="195"/>
        <v>0</v>
      </c>
      <c r="AP159" s="183">
        <f t="shared" si="195"/>
        <v>0</v>
      </c>
      <c r="AQ159" s="183">
        <f t="shared" si="195"/>
        <v>21150</v>
      </c>
      <c r="AR159" s="183">
        <f t="shared" si="195"/>
        <v>1885</v>
      </c>
      <c r="AS159" s="183">
        <f t="shared" si="195"/>
        <v>0</v>
      </c>
      <c r="AT159" s="183">
        <f t="shared" si="195"/>
        <v>18850</v>
      </c>
      <c r="AU159" s="183">
        <f t="shared" si="195"/>
        <v>0</v>
      </c>
      <c r="AV159" s="183">
        <f t="shared" si="195"/>
        <v>0</v>
      </c>
      <c r="AW159" s="183">
        <f>SUM(AW154:AW158)</f>
        <v>18850</v>
      </c>
      <c r="AX159" s="183">
        <f>SUM(AX154:AX158)</f>
        <v>0</v>
      </c>
      <c r="AY159" s="661"/>
      <c r="AZ159" s="661"/>
      <c r="BA159" s="661"/>
    </row>
    <row r="160" spans="2:53" s="76" customFormat="1" ht="31.5">
      <c r="B160" s="703"/>
      <c r="C160" s="180" t="s">
        <v>1278</v>
      </c>
      <c r="D160" s="207"/>
      <c r="E160" s="193"/>
      <c r="F160" s="193"/>
      <c r="G160" s="184">
        <f>G140+G152+G159</f>
        <v>133775</v>
      </c>
      <c r="H160" s="748"/>
      <c r="I160" s="184">
        <f t="shared" ref="I160:AV160" si="196">I140+I152+I159</f>
        <v>2127.9</v>
      </c>
      <c r="J160" s="748"/>
      <c r="K160" s="184">
        <f t="shared" si="196"/>
        <v>12222.759999999998</v>
      </c>
      <c r="L160" s="184"/>
      <c r="M160" s="748"/>
      <c r="N160" s="184"/>
      <c r="O160" s="748"/>
      <c r="P160" s="184">
        <f t="shared" si="196"/>
        <v>2175.9</v>
      </c>
      <c r="Q160" s="184"/>
      <c r="R160" s="184">
        <f t="shared" si="196"/>
        <v>150301.56</v>
      </c>
      <c r="S160" s="183">
        <f>S140+S152+S159</f>
        <v>18</v>
      </c>
      <c r="T160" s="183">
        <f t="shared" si="196"/>
        <v>2</v>
      </c>
      <c r="U160" s="184"/>
      <c r="V160" s="748"/>
      <c r="W160" s="184">
        <f t="shared" si="196"/>
        <v>1885</v>
      </c>
      <c r="X160" s="748"/>
      <c r="Y160" s="748"/>
      <c r="Z160" s="184">
        <f t="shared" si="196"/>
        <v>34013.433000000005</v>
      </c>
      <c r="AA160" s="183">
        <f t="shared" si="196"/>
        <v>26517.599999999999</v>
      </c>
      <c r="AB160" s="797">
        <f t="shared" si="196"/>
        <v>179589.8855</v>
      </c>
      <c r="AC160" s="183">
        <f t="shared" si="196"/>
        <v>97295.114499999996</v>
      </c>
      <c r="AD160" s="183">
        <f>AD140+AD152+AD159</f>
        <v>276885</v>
      </c>
      <c r="AE160" s="183">
        <f t="shared" si="196"/>
        <v>276885</v>
      </c>
      <c r="AF160" s="183">
        <f t="shared" si="196"/>
        <v>97295.114499999996</v>
      </c>
      <c r="AG160" s="183">
        <f>AG140+AG152+AG159</f>
        <v>160000</v>
      </c>
      <c r="AH160" s="183">
        <f t="shared" si="196"/>
        <v>8812.7144999999964</v>
      </c>
      <c r="AI160" s="183">
        <f t="shared" si="196"/>
        <v>97032</v>
      </c>
      <c r="AJ160" s="183">
        <f t="shared" si="196"/>
        <v>14745.25</v>
      </c>
      <c r="AK160" s="183">
        <f t="shared" si="196"/>
        <v>105388.86</v>
      </c>
      <c r="AL160" s="183">
        <f t="shared" si="196"/>
        <v>18104.849999999999</v>
      </c>
      <c r="AM160" s="183">
        <f t="shared" si="196"/>
        <v>8356.86</v>
      </c>
      <c r="AN160" s="183">
        <f t="shared" si="196"/>
        <v>3359.6000000000004</v>
      </c>
      <c r="AO160" s="183">
        <f t="shared" si="196"/>
        <v>23114.318000000003</v>
      </c>
      <c r="AP160" s="183">
        <f t="shared" si="196"/>
        <v>4579.2575000000006</v>
      </c>
      <c r="AQ160" s="183">
        <f t="shared" si="196"/>
        <v>26517.599999999999</v>
      </c>
      <c r="AR160" s="183">
        <f t="shared" si="196"/>
        <v>1885</v>
      </c>
      <c r="AS160" s="183">
        <f t="shared" si="196"/>
        <v>0</v>
      </c>
      <c r="AT160" s="183">
        <f t="shared" si="196"/>
        <v>105388.86</v>
      </c>
      <c r="AU160" s="183">
        <f t="shared" si="196"/>
        <v>18104.849999999999</v>
      </c>
      <c r="AV160" s="183">
        <f t="shared" si="196"/>
        <v>0</v>
      </c>
      <c r="AW160" s="183">
        <f>AW140+AW152+AW159</f>
        <v>123493.70999999999</v>
      </c>
      <c r="AX160" s="183">
        <f>AX140+AX152+AX159</f>
        <v>0</v>
      </c>
      <c r="AY160" s="661"/>
      <c r="AZ160" s="661"/>
      <c r="BA160" s="661"/>
    </row>
    <row r="161" spans="2:53" s="76" customFormat="1" ht="33">
      <c r="B161" s="703"/>
      <c r="C161" s="191" t="s">
        <v>1767</v>
      </c>
      <c r="D161" s="192"/>
      <c r="E161" s="193"/>
      <c r="F161" s="193"/>
      <c r="G161" s="193"/>
      <c r="H161" s="731"/>
      <c r="I161" s="193"/>
      <c r="J161" s="731"/>
      <c r="K161" s="193"/>
      <c r="L161" s="193"/>
      <c r="M161" s="731"/>
      <c r="N161" s="193"/>
      <c r="O161" s="731"/>
      <c r="P161" s="193"/>
      <c r="Q161" s="193"/>
      <c r="R161" s="193"/>
      <c r="S161" s="193"/>
      <c r="T161" s="193"/>
      <c r="U161" s="193"/>
      <c r="V161" s="732"/>
      <c r="W161" s="193"/>
      <c r="X161" s="732"/>
      <c r="Y161" s="732"/>
      <c r="Z161" s="193"/>
      <c r="AA161" s="193"/>
      <c r="AB161" s="795"/>
      <c r="AC161" s="195"/>
      <c r="AD161" s="195"/>
      <c r="AE161" s="195"/>
      <c r="AF161" s="195"/>
      <c r="AG161" s="195"/>
      <c r="AH161" s="195"/>
      <c r="AI161" s="203">
        <f>G161*S161</f>
        <v>0</v>
      </c>
      <c r="AJ161" s="203">
        <f>G161*T161</f>
        <v>0</v>
      </c>
      <c r="AK161" s="203">
        <f>R161*S161</f>
        <v>0</v>
      </c>
      <c r="AL161" s="203">
        <f>R161*T161</f>
        <v>0</v>
      </c>
      <c r="AM161" s="203">
        <f t="shared" ref="AM161:AN163" si="197">AK161-AI161</f>
        <v>0</v>
      </c>
      <c r="AN161" s="203">
        <f t="shared" si="197"/>
        <v>0</v>
      </c>
      <c r="AO161" s="205">
        <f>Z161*S161</f>
        <v>0</v>
      </c>
      <c r="AP161" s="205">
        <f>Z161*T161</f>
        <v>0</v>
      </c>
      <c r="AQ161" s="205">
        <f>AA161</f>
        <v>0</v>
      </c>
      <c r="AR161" s="205">
        <f>W161*S161</f>
        <v>0</v>
      </c>
      <c r="AS161" s="205">
        <f>W161*T161</f>
        <v>0</v>
      </c>
      <c r="AT161" s="209">
        <f t="shared" si="194"/>
        <v>0</v>
      </c>
      <c r="AU161" s="209">
        <f t="shared" si="194"/>
        <v>0</v>
      </c>
      <c r="AV161" s="203"/>
      <c r="AW161" s="251"/>
      <c r="AX161" s="251"/>
      <c r="AY161" s="661"/>
      <c r="AZ161" s="661"/>
      <c r="BA161" s="661"/>
    </row>
    <row r="162" spans="2:53" s="76" customFormat="1" ht="33">
      <c r="B162" s="703"/>
      <c r="C162" s="220" t="s">
        <v>1382</v>
      </c>
      <c r="D162" s="217"/>
      <c r="E162" s="218"/>
      <c r="F162" s="218"/>
      <c r="G162" s="218"/>
      <c r="H162" s="745"/>
      <c r="I162" s="218"/>
      <c r="J162" s="745"/>
      <c r="K162" s="218"/>
      <c r="L162" s="218"/>
      <c r="M162" s="745"/>
      <c r="N162" s="218"/>
      <c r="O162" s="745"/>
      <c r="P162" s="218"/>
      <c r="Q162" s="218"/>
      <c r="R162" s="218"/>
      <c r="S162" s="218"/>
      <c r="T162" s="218"/>
      <c r="U162" s="218"/>
      <c r="V162" s="746"/>
      <c r="W162" s="218"/>
      <c r="X162" s="746"/>
      <c r="Y162" s="746"/>
      <c r="Z162" s="218"/>
      <c r="AA162" s="218"/>
      <c r="AB162" s="799"/>
      <c r="AC162" s="219"/>
      <c r="AD162" s="219"/>
      <c r="AE162" s="219"/>
      <c r="AF162" s="219"/>
      <c r="AG162" s="219"/>
      <c r="AH162" s="219"/>
      <c r="AI162" s="203">
        <f>G162*S162</f>
        <v>0</v>
      </c>
      <c r="AJ162" s="203">
        <f>G162*T162</f>
        <v>0</v>
      </c>
      <c r="AK162" s="203">
        <f>R162*S162</f>
        <v>0</v>
      </c>
      <c r="AL162" s="203">
        <f>R162*T162</f>
        <v>0</v>
      </c>
      <c r="AM162" s="203">
        <f t="shared" si="197"/>
        <v>0</v>
      </c>
      <c r="AN162" s="203">
        <f t="shared" si="197"/>
        <v>0</v>
      </c>
      <c r="AO162" s="205">
        <f>Z162*S162</f>
        <v>0</v>
      </c>
      <c r="AP162" s="205">
        <f>Z162*T162</f>
        <v>0</v>
      </c>
      <c r="AQ162" s="205">
        <f>AA162</f>
        <v>0</v>
      </c>
      <c r="AR162" s="205">
        <f>W162*S162</f>
        <v>0</v>
      </c>
      <c r="AS162" s="205">
        <f>W162*T162</f>
        <v>0</v>
      </c>
      <c r="AT162" s="209">
        <f t="shared" si="194"/>
        <v>0</v>
      </c>
      <c r="AU162" s="209">
        <f t="shared" si="194"/>
        <v>0</v>
      </c>
      <c r="AV162" s="203"/>
      <c r="AW162" s="251"/>
      <c r="AX162" s="251"/>
      <c r="AY162" s="661"/>
      <c r="AZ162" s="661"/>
      <c r="BA162" s="661"/>
    </row>
    <row r="163" spans="2:53" s="76" customFormat="1" ht="58.5">
      <c r="B163" s="703">
        <f>B158+1</f>
        <v>117</v>
      </c>
      <c r="C163" s="197" t="s">
        <v>1768</v>
      </c>
      <c r="D163" s="198" t="s">
        <v>1357</v>
      </c>
      <c r="E163" s="703" t="s">
        <v>1024</v>
      </c>
      <c r="F163" s="703">
        <v>13</v>
      </c>
      <c r="G163" s="199">
        <v>7253</v>
      </c>
      <c r="H163" s="737"/>
      <c r="I163" s="703"/>
      <c r="J163" s="736"/>
      <c r="K163" s="199"/>
      <c r="L163" s="199"/>
      <c r="M163" s="736"/>
      <c r="N163" s="193"/>
      <c r="O163" s="737">
        <v>0.15</v>
      </c>
      <c r="P163" s="204">
        <f>G163*O163</f>
        <v>1087.95</v>
      </c>
      <c r="Q163" s="201"/>
      <c r="R163" s="199">
        <f>G163+I163+K163+L163+N163+P163+Q163</f>
        <v>8340.9500000000007</v>
      </c>
      <c r="S163" s="199">
        <v>0.75</v>
      </c>
      <c r="T163" s="703"/>
      <c r="U163" s="703"/>
      <c r="V163" s="737"/>
      <c r="W163" s="703"/>
      <c r="X163" s="718">
        <v>27</v>
      </c>
      <c r="Y163" s="737">
        <v>0.3</v>
      </c>
      <c r="Z163" s="199">
        <f>R163*Y163</f>
        <v>2502.2850000000003</v>
      </c>
      <c r="AA163" s="199"/>
      <c r="AB163" s="796">
        <f>(R163+Z163)*S163+AA163</f>
        <v>8132.4262500000004</v>
      </c>
      <c r="AC163" s="738">
        <f>AF163</f>
        <v>6867.5737499999996</v>
      </c>
      <c r="AD163" s="738">
        <f>AB163+AC163</f>
        <v>15000</v>
      </c>
      <c r="AE163" s="202">
        <f>20000*S163</f>
        <v>15000</v>
      </c>
      <c r="AF163" s="202">
        <f>AE163-AB163</f>
        <v>6867.5737499999996</v>
      </c>
      <c r="AG163" s="738">
        <f>8000*S163</f>
        <v>6000</v>
      </c>
      <c r="AH163" s="202">
        <f>AB163-AG163</f>
        <v>2132.4262500000004</v>
      </c>
      <c r="AI163" s="203">
        <f>G163*S163</f>
        <v>5439.75</v>
      </c>
      <c r="AJ163" s="203">
        <f>G163*T163</f>
        <v>0</v>
      </c>
      <c r="AK163" s="203">
        <f>R163*S163</f>
        <v>6255.7125000000005</v>
      </c>
      <c r="AL163" s="203">
        <f>R163*T163</f>
        <v>0</v>
      </c>
      <c r="AM163" s="203">
        <f t="shared" si="197"/>
        <v>815.96250000000055</v>
      </c>
      <c r="AN163" s="203">
        <f t="shared" si="197"/>
        <v>0</v>
      </c>
      <c r="AO163" s="205">
        <f>Z163*S163</f>
        <v>1876.7137500000003</v>
      </c>
      <c r="AP163" s="205">
        <f>Z163*T163</f>
        <v>0</v>
      </c>
      <c r="AQ163" s="205">
        <f>AA163</f>
        <v>0</v>
      </c>
      <c r="AR163" s="205">
        <f>W163*S163</f>
        <v>0</v>
      </c>
      <c r="AS163" s="205">
        <f>W163*T163</f>
        <v>0</v>
      </c>
      <c r="AT163" s="209">
        <f t="shared" si="194"/>
        <v>6255.7125000000005</v>
      </c>
      <c r="AU163" s="209">
        <f t="shared" si="194"/>
        <v>0</v>
      </c>
      <c r="AV163" s="203"/>
      <c r="AW163" s="251">
        <f>R163*S163</f>
        <v>6255.7125000000005</v>
      </c>
      <c r="AX163" s="251"/>
      <c r="AY163" s="661"/>
      <c r="AZ163" s="661"/>
      <c r="BA163" s="661"/>
    </row>
    <row r="164" spans="2:53" s="76" customFormat="1" ht="31.5">
      <c r="B164" s="703"/>
      <c r="C164" s="180" t="s">
        <v>1736</v>
      </c>
      <c r="D164" s="207"/>
      <c r="E164" s="193"/>
      <c r="F164" s="193"/>
      <c r="G164" s="183">
        <f>SUM(G163:G163)</f>
        <v>7253</v>
      </c>
      <c r="H164" s="752"/>
      <c r="I164" s="183">
        <f>SUM(I163:I163)</f>
        <v>0</v>
      </c>
      <c r="J164" s="752">
        <f>SUM(J163:J163)</f>
        <v>0</v>
      </c>
      <c r="K164" s="183">
        <f>SUM(K163:K163)</f>
        <v>0</v>
      </c>
      <c r="L164" s="183"/>
      <c r="M164" s="752"/>
      <c r="N164" s="183"/>
      <c r="O164" s="752"/>
      <c r="P164" s="183">
        <f>SUM(P163:P163)</f>
        <v>1087.95</v>
      </c>
      <c r="Q164" s="183"/>
      <c r="R164" s="183">
        <f>SUM(R163:R163)</f>
        <v>8340.9500000000007</v>
      </c>
      <c r="S164" s="183">
        <f>SUM(S163:S163)</f>
        <v>0.75</v>
      </c>
      <c r="T164" s="183">
        <f>SUM(T163:T163)</f>
        <v>0</v>
      </c>
      <c r="U164" s="183"/>
      <c r="V164" s="742"/>
      <c r="W164" s="183"/>
      <c r="X164" s="742"/>
      <c r="Y164" s="742"/>
      <c r="Z164" s="183">
        <f>SUM(Z163:Z163)</f>
        <v>2502.2850000000003</v>
      </c>
      <c r="AA164" s="183">
        <f>SUM(AA163:AA163)</f>
        <v>0</v>
      </c>
      <c r="AB164" s="797">
        <f t="shared" ref="AB164:AV164" si="198">SUM(AB163:AB163)</f>
        <v>8132.4262500000004</v>
      </c>
      <c r="AC164" s="183">
        <f t="shared" si="198"/>
        <v>6867.5737499999996</v>
      </c>
      <c r="AD164" s="183">
        <f>SUM(AD163:AD163)</f>
        <v>15000</v>
      </c>
      <c r="AE164" s="183">
        <f t="shared" si="198"/>
        <v>15000</v>
      </c>
      <c r="AF164" s="183">
        <f t="shared" si="198"/>
        <v>6867.5737499999996</v>
      </c>
      <c r="AG164" s="183">
        <f>SUM(AG163:AG163)</f>
        <v>6000</v>
      </c>
      <c r="AH164" s="183">
        <f t="shared" si="198"/>
        <v>2132.4262500000004</v>
      </c>
      <c r="AI164" s="183">
        <f t="shared" si="198"/>
        <v>5439.75</v>
      </c>
      <c r="AJ164" s="183">
        <f t="shared" si="198"/>
        <v>0</v>
      </c>
      <c r="AK164" s="183">
        <f t="shared" si="198"/>
        <v>6255.7125000000005</v>
      </c>
      <c r="AL164" s="183">
        <f t="shared" si="198"/>
        <v>0</v>
      </c>
      <c r="AM164" s="183">
        <f t="shared" si="198"/>
        <v>815.96250000000055</v>
      </c>
      <c r="AN164" s="183">
        <f t="shared" si="198"/>
        <v>0</v>
      </c>
      <c r="AO164" s="183">
        <f t="shared" si="198"/>
        <v>1876.7137500000003</v>
      </c>
      <c r="AP164" s="183">
        <f t="shared" si="198"/>
        <v>0</v>
      </c>
      <c r="AQ164" s="183">
        <f t="shared" si="198"/>
        <v>0</v>
      </c>
      <c r="AR164" s="183">
        <f t="shared" si="198"/>
        <v>0</v>
      </c>
      <c r="AS164" s="183">
        <f t="shared" si="198"/>
        <v>0</v>
      </c>
      <c r="AT164" s="183">
        <f t="shared" si="198"/>
        <v>6255.7125000000005</v>
      </c>
      <c r="AU164" s="183">
        <f t="shared" si="198"/>
        <v>0</v>
      </c>
      <c r="AV164" s="183">
        <f t="shared" si="198"/>
        <v>0</v>
      </c>
      <c r="AW164" s="183">
        <f>SUM(AW163:AW163)</f>
        <v>6255.7125000000005</v>
      </c>
      <c r="AX164" s="183">
        <f>SUM(AX163:AX163)</f>
        <v>0</v>
      </c>
      <c r="AY164" s="661"/>
      <c r="AZ164" s="661"/>
      <c r="BA164" s="661"/>
    </row>
    <row r="165" spans="2:53" s="76" customFormat="1" ht="33">
      <c r="B165" s="703"/>
      <c r="C165" s="220" t="s">
        <v>1581</v>
      </c>
      <c r="D165" s="217"/>
      <c r="E165" s="218"/>
      <c r="F165" s="218"/>
      <c r="G165" s="218"/>
      <c r="H165" s="745"/>
      <c r="I165" s="218"/>
      <c r="J165" s="745"/>
      <c r="K165" s="218"/>
      <c r="L165" s="218"/>
      <c r="M165" s="745"/>
      <c r="N165" s="218"/>
      <c r="O165" s="745"/>
      <c r="P165" s="218"/>
      <c r="Q165" s="218"/>
      <c r="R165" s="218"/>
      <c r="S165" s="218"/>
      <c r="T165" s="218"/>
      <c r="U165" s="218"/>
      <c r="V165" s="746"/>
      <c r="W165" s="218"/>
      <c r="X165" s="746"/>
      <c r="Y165" s="746"/>
      <c r="Z165" s="218"/>
      <c r="AA165" s="218"/>
      <c r="AB165" s="799"/>
      <c r="AC165" s="219"/>
      <c r="AD165" s="219"/>
      <c r="AE165" s="219"/>
      <c r="AF165" s="219"/>
      <c r="AG165" s="219"/>
      <c r="AH165" s="219"/>
      <c r="AI165" s="203"/>
      <c r="AJ165" s="203"/>
      <c r="AK165" s="203"/>
      <c r="AL165" s="203"/>
      <c r="AM165" s="203"/>
      <c r="AN165" s="203"/>
      <c r="AO165" s="205"/>
      <c r="AP165" s="205"/>
      <c r="AQ165" s="205"/>
      <c r="AR165" s="205"/>
      <c r="AS165" s="205"/>
      <c r="AT165" s="209"/>
      <c r="AU165" s="209"/>
      <c r="AV165" s="203"/>
      <c r="AW165" s="251"/>
      <c r="AX165" s="251"/>
      <c r="AY165" s="661"/>
      <c r="AZ165" s="661"/>
      <c r="BA165" s="661"/>
    </row>
    <row r="166" spans="2:53" s="76" customFormat="1" ht="63">
      <c r="B166" s="703">
        <f>B163+1</f>
        <v>118</v>
      </c>
      <c r="C166" s="197" t="s">
        <v>1799</v>
      </c>
      <c r="D166" s="198" t="s">
        <v>1099</v>
      </c>
      <c r="E166" s="703" t="s">
        <v>1100</v>
      </c>
      <c r="F166" s="703">
        <v>8</v>
      </c>
      <c r="G166" s="199">
        <v>5240</v>
      </c>
      <c r="H166" s="736"/>
      <c r="I166" s="199"/>
      <c r="J166" s="736"/>
      <c r="K166" s="199"/>
      <c r="L166" s="199"/>
      <c r="M166" s="736"/>
      <c r="N166" s="199"/>
      <c r="O166" s="737">
        <v>0.15</v>
      </c>
      <c r="P166" s="199">
        <f t="shared" ref="P166:P171" si="199">G166*O166</f>
        <v>786</v>
      </c>
      <c r="Q166" s="199"/>
      <c r="R166" s="199">
        <f t="shared" ref="R166:R171" si="200">G166+I166+K166+L166+N166+P166+Q166</f>
        <v>6026</v>
      </c>
      <c r="S166" s="199">
        <v>1</v>
      </c>
      <c r="T166" s="206"/>
      <c r="U166" s="206"/>
      <c r="V166" s="741"/>
      <c r="W166" s="206"/>
      <c r="X166" s="718">
        <v>16</v>
      </c>
      <c r="Y166" s="737">
        <v>0.2</v>
      </c>
      <c r="Z166" s="199">
        <f t="shared" ref="Z166:Z171" si="201">R166*Y166</f>
        <v>1205.2</v>
      </c>
      <c r="AA166" s="199">
        <f>AH166</f>
        <v>768.8</v>
      </c>
      <c r="AB166" s="796">
        <f t="shared" ref="AB166:AB171" si="202">(R166+Z166)*S166+AA166</f>
        <v>8000</v>
      </c>
      <c r="AC166" s="738">
        <f t="shared" ref="AC166:AC171" si="203">AF166</f>
        <v>5500</v>
      </c>
      <c r="AD166" s="738">
        <f t="shared" ref="AD166:AD171" si="204">AB166+AC166</f>
        <v>13500</v>
      </c>
      <c r="AE166" s="202">
        <f t="shared" ref="AE166:AE171" si="205">13500*S166</f>
        <v>13500</v>
      </c>
      <c r="AF166" s="202">
        <f t="shared" ref="AF166:AF171" si="206">AE166-AB166</f>
        <v>5500</v>
      </c>
      <c r="AG166" s="738">
        <f t="shared" ref="AG166:AG171" si="207">8000*S166</f>
        <v>8000</v>
      </c>
      <c r="AH166" s="202">
        <f t="shared" ref="AH166:AH171" si="208">AG166-(R166*S166)-Z166</f>
        <v>768.8</v>
      </c>
      <c r="AI166" s="203">
        <f t="shared" ref="AI166:AI171" si="209">G166*S166</f>
        <v>5240</v>
      </c>
      <c r="AJ166" s="203">
        <f t="shared" ref="AJ166:AJ171" si="210">G166*T166</f>
        <v>0</v>
      </c>
      <c r="AK166" s="203">
        <f t="shared" ref="AK166:AK171" si="211">R166*S166</f>
        <v>6026</v>
      </c>
      <c r="AL166" s="203">
        <f t="shared" ref="AL166:AL171" si="212">R166*T166</f>
        <v>0</v>
      </c>
      <c r="AM166" s="203">
        <f t="shared" ref="AM166:AN171" si="213">AK166-AI166</f>
        <v>786</v>
      </c>
      <c r="AN166" s="203">
        <f>AL166-AJ166</f>
        <v>0</v>
      </c>
      <c r="AO166" s="205">
        <f t="shared" ref="AO166:AO171" si="214">Z166*S166</f>
        <v>1205.2</v>
      </c>
      <c r="AP166" s="205">
        <f t="shared" ref="AP166:AP171" si="215">Z166*T166</f>
        <v>0</v>
      </c>
      <c r="AQ166" s="205">
        <f t="shared" ref="AQ166:AQ171" si="216">AA166</f>
        <v>768.8</v>
      </c>
      <c r="AR166" s="205">
        <f t="shared" ref="AR166:AR171" si="217">W166*S166</f>
        <v>0</v>
      </c>
      <c r="AS166" s="205">
        <f t="shared" ref="AS166:AS171" si="218">W166*T166</f>
        <v>0</v>
      </c>
      <c r="AT166" s="209">
        <f>AK166</f>
        <v>6026</v>
      </c>
      <c r="AU166" s="209">
        <f t="shared" si="194"/>
        <v>0</v>
      </c>
      <c r="AV166" s="203"/>
      <c r="AW166" s="251">
        <f t="shared" ref="AW166:AW171" si="219">R166*S166</f>
        <v>6026</v>
      </c>
      <c r="AX166" s="251"/>
      <c r="AY166" s="661"/>
      <c r="AZ166" s="661"/>
      <c r="BA166" s="661"/>
    </row>
    <row r="167" spans="2:53" s="76" customFormat="1" ht="63">
      <c r="B167" s="703">
        <f t="shared" si="184"/>
        <v>119</v>
      </c>
      <c r="C167" s="197" t="s">
        <v>1064</v>
      </c>
      <c r="D167" s="198" t="s">
        <v>1364</v>
      </c>
      <c r="E167" s="703" t="s">
        <v>1107</v>
      </c>
      <c r="F167" s="703">
        <v>9</v>
      </c>
      <c r="G167" s="199">
        <v>5527</v>
      </c>
      <c r="H167" s="736"/>
      <c r="I167" s="199"/>
      <c r="J167" s="736"/>
      <c r="K167" s="199"/>
      <c r="L167" s="199"/>
      <c r="M167" s="736"/>
      <c r="N167" s="199"/>
      <c r="O167" s="737">
        <v>0.15</v>
      </c>
      <c r="P167" s="199">
        <f t="shared" si="199"/>
        <v>829.05</v>
      </c>
      <c r="Q167" s="199"/>
      <c r="R167" s="199">
        <f>G167+I167+K167+L167+N167+P167+Q167</f>
        <v>6356.05</v>
      </c>
      <c r="S167" s="199">
        <v>1</v>
      </c>
      <c r="T167" s="206"/>
      <c r="U167" s="206"/>
      <c r="V167" s="741"/>
      <c r="W167" s="206"/>
      <c r="X167" s="718">
        <v>28</v>
      </c>
      <c r="Y167" s="737">
        <v>0.3</v>
      </c>
      <c r="Z167" s="199">
        <f t="shared" si="201"/>
        <v>1906.8150000000001</v>
      </c>
      <c r="AA167" s="199"/>
      <c r="AB167" s="796">
        <f t="shared" si="202"/>
        <v>8262.8649999999998</v>
      </c>
      <c r="AC167" s="738">
        <f t="shared" si="203"/>
        <v>5237.1350000000002</v>
      </c>
      <c r="AD167" s="738">
        <f t="shared" si="204"/>
        <v>13500</v>
      </c>
      <c r="AE167" s="202">
        <f t="shared" si="205"/>
        <v>13500</v>
      </c>
      <c r="AF167" s="202">
        <f t="shared" si="206"/>
        <v>5237.1350000000002</v>
      </c>
      <c r="AG167" s="738">
        <f t="shared" si="207"/>
        <v>8000</v>
      </c>
      <c r="AH167" s="202">
        <f t="shared" si="208"/>
        <v>-262.86500000000024</v>
      </c>
      <c r="AI167" s="203">
        <f t="shared" si="209"/>
        <v>5527</v>
      </c>
      <c r="AJ167" s="203">
        <f t="shared" si="210"/>
        <v>0</v>
      </c>
      <c r="AK167" s="203">
        <f t="shared" si="211"/>
        <v>6356.05</v>
      </c>
      <c r="AL167" s="203">
        <f t="shared" si="212"/>
        <v>0</v>
      </c>
      <c r="AM167" s="203">
        <f t="shared" si="213"/>
        <v>829.05000000000018</v>
      </c>
      <c r="AN167" s="203">
        <f>AL167-AJ167</f>
        <v>0</v>
      </c>
      <c r="AO167" s="205">
        <f t="shared" si="214"/>
        <v>1906.8150000000001</v>
      </c>
      <c r="AP167" s="205">
        <f t="shared" si="215"/>
        <v>0</v>
      </c>
      <c r="AQ167" s="205">
        <f t="shared" si="216"/>
        <v>0</v>
      </c>
      <c r="AR167" s="205">
        <f t="shared" si="217"/>
        <v>0</v>
      </c>
      <c r="AS167" s="205">
        <f t="shared" si="218"/>
        <v>0</v>
      </c>
      <c r="AT167" s="209">
        <f t="shared" si="194"/>
        <v>6356.05</v>
      </c>
      <c r="AU167" s="209">
        <f t="shared" si="194"/>
        <v>0</v>
      </c>
      <c r="AV167" s="203"/>
      <c r="AW167" s="251">
        <f t="shared" si="219"/>
        <v>6356.05</v>
      </c>
      <c r="AX167" s="251"/>
      <c r="AY167" s="661"/>
      <c r="AZ167" s="661"/>
      <c r="BA167" s="661"/>
    </row>
    <row r="168" spans="2:53" s="76" customFormat="1" ht="63">
      <c r="B168" s="703">
        <f t="shared" si="184"/>
        <v>120</v>
      </c>
      <c r="C168" s="197" t="s">
        <v>1064</v>
      </c>
      <c r="D168" s="198" t="s">
        <v>1800</v>
      </c>
      <c r="E168" s="703" t="s">
        <v>1108</v>
      </c>
      <c r="F168" s="703">
        <v>9</v>
      </c>
      <c r="G168" s="199">
        <v>5527</v>
      </c>
      <c r="H168" s="736"/>
      <c r="I168" s="199"/>
      <c r="J168" s="736"/>
      <c r="K168" s="199"/>
      <c r="L168" s="199"/>
      <c r="M168" s="736"/>
      <c r="N168" s="199"/>
      <c r="O168" s="737">
        <v>0.15</v>
      </c>
      <c r="P168" s="199">
        <f t="shared" si="199"/>
        <v>829.05</v>
      </c>
      <c r="Q168" s="199"/>
      <c r="R168" s="199">
        <f>G168+I168+K168+L168+N168+P168+Q168</f>
        <v>6356.05</v>
      </c>
      <c r="S168" s="199">
        <v>1</v>
      </c>
      <c r="T168" s="199"/>
      <c r="U168" s="199"/>
      <c r="V168" s="736"/>
      <c r="W168" s="199"/>
      <c r="X168" s="718">
        <v>35</v>
      </c>
      <c r="Y168" s="737">
        <v>0.3</v>
      </c>
      <c r="Z168" s="199">
        <f t="shared" si="201"/>
        <v>1906.8150000000001</v>
      </c>
      <c r="AA168" s="199"/>
      <c r="AB168" s="796">
        <f t="shared" si="202"/>
        <v>8262.8649999999998</v>
      </c>
      <c r="AC168" s="738">
        <f t="shared" si="203"/>
        <v>5237.1350000000002</v>
      </c>
      <c r="AD168" s="738">
        <f t="shared" si="204"/>
        <v>13500</v>
      </c>
      <c r="AE168" s="202">
        <f t="shared" si="205"/>
        <v>13500</v>
      </c>
      <c r="AF168" s="202">
        <f t="shared" si="206"/>
        <v>5237.1350000000002</v>
      </c>
      <c r="AG168" s="738">
        <f t="shared" si="207"/>
        <v>8000</v>
      </c>
      <c r="AH168" s="202">
        <f t="shared" si="208"/>
        <v>-262.86500000000024</v>
      </c>
      <c r="AI168" s="203">
        <f t="shared" si="209"/>
        <v>5527</v>
      </c>
      <c r="AJ168" s="203">
        <f t="shared" si="210"/>
        <v>0</v>
      </c>
      <c r="AK168" s="203">
        <f t="shared" si="211"/>
        <v>6356.05</v>
      </c>
      <c r="AL168" s="203">
        <f t="shared" si="212"/>
        <v>0</v>
      </c>
      <c r="AM168" s="203">
        <f t="shared" si="213"/>
        <v>829.05000000000018</v>
      </c>
      <c r="AN168" s="203">
        <f t="shared" si="213"/>
        <v>0</v>
      </c>
      <c r="AO168" s="205">
        <f t="shared" si="214"/>
        <v>1906.8150000000001</v>
      </c>
      <c r="AP168" s="205">
        <f t="shared" si="215"/>
        <v>0</v>
      </c>
      <c r="AQ168" s="205">
        <f t="shared" si="216"/>
        <v>0</v>
      </c>
      <c r="AR168" s="205">
        <f t="shared" si="217"/>
        <v>0</v>
      </c>
      <c r="AS168" s="205">
        <f t="shared" si="218"/>
        <v>0</v>
      </c>
      <c r="AT168" s="209">
        <f t="shared" si="194"/>
        <v>6356.05</v>
      </c>
      <c r="AU168" s="209">
        <f t="shared" si="194"/>
        <v>0</v>
      </c>
      <c r="AV168" s="203"/>
      <c r="AW168" s="251">
        <f t="shared" si="219"/>
        <v>6356.05</v>
      </c>
      <c r="AX168" s="251"/>
      <c r="AY168" s="661"/>
      <c r="AZ168" s="661"/>
      <c r="BA168" s="661"/>
    </row>
    <row r="169" spans="2:53" s="76" customFormat="1" ht="63">
      <c r="B169" s="703">
        <f t="shared" si="184"/>
        <v>121</v>
      </c>
      <c r="C169" s="197" t="s">
        <v>1064</v>
      </c>
      <c r="D169" s="198" t="s">
        <v>1862</v>
      </c>
      <c r="E169" s="703" t="s">
        <v>1109</v>
      </c>
      <c r="F169" s="703">
        <v>9</v>
      </c>
      <c r="G169" s="199">
        <v>5527</v>
      </c>
      <c r="H169" s="736"/>
      <c r="I169" s="199"/>
      <c r="J169" s="736"/>
      <c r="K169" s="199"/>
      <c r="L169" s="199"/>
      <c r="M169" s="736"/>
      <c r="N169" s="199"/>
      <c r="O169" s="737">
        <v>0.15</v>
      </c>
      <c r="P169" s="199">
        <f t="shared" si="199"/>
        <v>829.05</v>
      </c>
      <c r="Q169" s="206"/>
      <c r="R169" s="199">
        <f t="shared" si="200"/>
        <v>6356.05</v>
      </c>
      <c r="S169" s="199">
        <v>1</v>
      </c>
      <c r="T169" s="199"/>
      <c r="U169" s="206"/>
      <c r="V169" s="741"/>
      <c r="W169" s="206"/>
      <c r="X169" s="718">
        <v>23</v>
      </c>
      <c r="Y169" s="737">
        <v>0.3</v>
      </c>
      <c r="Z169" s="199">
        <f t="shared" si="201"/>
        <v>1906.8150000000001</v>
      </c>
      <c r="AA169" s="199"/>
      <c r="AB169" s="796">
        <f t="shared" si="202"/>
        <v>8262.8649999999998</v>
      </c>
      <c r="AC169" s="738">
        <f t="shared" si="203"/>
        <v>5237.1350000000002</v>
      </c>
      <c r="AD169" s="738">
        <f t="shared" si="204"/>
        <v>13500</v>
      </c>
      <c r="AE169" s="202">
        <f t="shared" si="205"/>
        <v>13500</v>
      </c>
      <c r="AF169" s="202">
        <f t="shared" si="206"/>
        <v>5237.1350000000002</v>
      </c>
      <c r="AG169" s="738">
        <f t="shared" si="207"/>
        <v>8000</v>
      </c>
      <c r="AH169" s="202">
        <f t="shared" si="208"/>
        <v>-262.86500000000024</v>
      </c>
      <c r="AI169" s="203">
        <f t="shared" si="209"/>
        <v>5527</v>
      </c>
      <c r="AJ169" s="203">
        <f t="shared" si="210"/>
        <v>0</v>
      </c>
      <c r="AK169" s="203">
        <f t="shared" si="211"/>
        <v>6356.05</v>
      </c>
      <c r="AL169" s="203">
        <f t="shared" si="212"/>
        <v>0</v>
      </c>
      <c r="AM169" s="203">
        <f t="shared" si="213"/>
        <v>829.05000000000018</v>
      </c>
      <c r="AN169" s="203">
        <f t="shared" si="213"/>
        <v>0</v>
      </c>
      <c r="AO169" s="205">
        <f t="shared" si="214"/>
        <v>1906.8150000000001</v>
      </c>
      <c r="AP169" s="205">
        <f t="shared" si="215"/>
        <v>0</v>
      </c>
      <c r="AQ169" s="205">
        <f t="shared" si="216"/>
        <v>0</v>
      </c>
      <c r="AR169" s="205">
        <f t="shared" si="217"/>
        <v>0</v>
      </c>
      <c r="AS169" s="205">
        <f t="shared" si="218"/>
        <v>0</v>
      </c>
      <c r="AT169" s="209">
        <f t="shared" si="194"/>
        <v>6356.05</v>
      </c>
      <c r="AU169" s="209">
        <f t="shared" si="194"/>
        <v>0</v>
      </c>
      <c r="AV169" s="203"/>
      <c r="AW169" s="251">
        <f t="shared" si="219"/>
        <v>6356.05</v>
      </c>
      <c r="AX169" s="251"/>
      <c r="AY169" s="661"/>
      <c r="AZ169" s="661"/>
      <c r="BA169" s="661"/>
    </row>
    <row r="170" spans="2:53" s="76" customFormat="1" ht="87.75">
      <c r="B170" s="703">
        <f t="shared" si="184"/>
        <v>122</v>
      </c>
      <c r="C170" s="197" t="s">
        <v>1064</v>
      </c>
      <c r="D170" s="198" t="s">
        <v>176</v>
      </c>
      <c r="E170" s="703" t="s">
        <v>177</v>
      </c>
      <c r="F170" s="703">
        <v>9</v>
      </c>
      <c r="G170" s="199">
        <v>5527</v>
      </c>
      <c r="H170" s="736"/>
      <c r="I170" s="199"/>
      <c r="J170" s="737"/>
      <c r="K170" s="201"/>
      <c r="L170" s="201"/>
      <c r="M170" s="736"/>
      <c r="N170" s="199"/>
      <c r="O170" s="737">
        <v>0.15</v>
      </c>
      <c r="P170" s="199">
        <f t="shared" si="199"/>
        <v>829.05</v>
      </c>
      <c r="Q170" s="206"/>
      <c r="R170" s="199">
        <f t="shared" si="200"/>
        <v>6356.05</v>
      </c>
      <c r="S170" s="199">
        <v>1</v>
      </c>
      <c r="T170" s="199"/>
      <c r="U170" s="206"/>
      <c r="V170" s="741"/>
      <c r="W170" s="206"/>
      <c r="X170" s="718">
        <v>20</v>
      </c>
      <c r="Y170" s="737">
        <v>0.3</v>
      </c>
      <c r="Z170" s="199">
        <f t="shared" si="201"/>
        <v>1906.8150000000001</v>
      </c>
      <c r="AA170" s="199"/>
      <c r="AB170" s="796">
        <f t="shared" si="202"/>
        <v>8262.8649999999998</v>
      </c>
      <c r="AC170" s="738">
        <f t="shared" si="203"/>
        <v>5237.1350000000002</v>
      </c>
      <c r="AD170" s="738">
        <f t="shared" si="204"/>
        <v>13500</v>
      </c>
      <c r="AE170" s="202">
        <f t="shared" si="205"/>
        <v>13500</v>
      </c>
      <c r="AF170" s="202">
        <f t="shared" si="206"/>
        <v>5237.1350000000002</v>
      </c>
      <c r="AG170" s="738">
        <f t="shared" si="207"/>
        <v>8000</v>
      </c>
      <c r="AH170" s="202">
        <f t="shared" si="208"/>
        <v>-262.86500000000024</v>
      </c>
      <c r="AI170" s="203">
        <f t="shared" si="209"/>
        <v>5527</v>
      </c>
      <c r="AJ170" s="203">
        <f t="shared" si="210"/>
        <v>0</v>
      </c>
      <c r="AK170" s="203">
        <f t="shared" si="211"/>
        <v>6356.05</v>
      </c>
      <c r="AL170" s="203">
        <f t="shared" si="212"/>
        <v>0</v>
      </c>
      <c r="AM170" s="203">
        <f t="shared" si="213"/>
        <v>829.05000000000018</v>
      </c>
      <c r="AN170" s="203">
        <f>AL170-AJ170</f>
        <v>0</v>
      </c>
      <c r="AO170" s="205">
        <f t="shared" si="214"/>
        <v>1906.8150000000001</v>
      </c>
      <c r="AP170" s="205">
        <f t="shared" si="215"/>
        <v>0</v>
      </c>
      <c r="AQ170" s="205">
        <f t="shared" si="216"/>
        <v>0</v>
      </c>
      <c r="AR170" s="205">
        <f t="shared" si="217"/>
        <v>0</v>
      </c>
      <c r="AS170" s="205">
        <f t="shared" si="218"/>
        <v>0</v>
      </c>
      <c r="AT170" s="209">
        <f t="shared" si="194"/>
        <v>6356.05</v>
      </c>
      <c r="AU170" s="209">
        <f t="shared" si="194"/>
        <v>0</v>
      </c>
      <c r="AV170" s="203"/>
      <c r="AW170" s="251">
        <f t="shared" si="219"/>
        <v>6356.05</v>
      </c>
      <c r="AX170" s="251"/>
      <c r="AY170" s="661"/>
      <c r="AZ170" s="661"/>
      <c r="BA170" s="661"/>
    </row>
    <row r="171" spans="2:53" s="76" customFormat="1" ht="63">
      <c r="B171" s="703">
        <f t="shared" si="184"/>
        <v>123</v>
      </c>
      <c r="C171" s="197" t="s">
        <v>1064</v>
      </c>
      <c r="D171" s="198" t="s">
        <v>1801</v>
      </c>
      <c r="E171" s="703" t="s">
        <v>1113</v>
      </c>
      <c r="F171" s="703">
        <v>9</v>
      </c>
      <c r="G171" s="199">
        <v>5527</v>
      </c>
      <c r="H171" s="736"/>
      <c r="I171" s="199"/>
      <c r="J171" s="736"/>
      <c r="K171" s="199"/>
      <c r="L171" s="199"/>
      <c r="M171" s="736"/>
      <c r="N171" s="199"/>
      <c r="O171" s="737">
        <v>0.15</v>
      </c>
      <c r="P171" s="199">
        <f t="shared" si="199"/>
        <v>829.05</v>
      </c>
      <c r="Q171" s="199"/>
      <c r="R171" s="199">
        <f t="shared" si="200"/>
        <v>6356.05</v>
      </c>
      <c r="S171" s="199">
        <v>1</v>
      </c>
      <c r="T171" s="199"/>
      <c r="U171" s="199"/>
      <c r="V171" s="736"/>
      <c r="W171" s="199"/>
      <c r="X171" s="718">
        <v>38</v>
      </c>
      <c r="Y171" s="737">
        <v>0.3</v>
      </c>
      <c r="Z171" s="199">
        <f t="shared" si="201"/>
        <v>1906.8150000000001</v>
      </c>
      <c r="AA171" s="199"/>
      <c r="AB171" s="796">
        <f t="shared" si="202"/>
        <v>8262.8649999999998</v>
      </c>
      <c r="AC171" s="738">
        <f t="shared" si="203"/>
        <v>5237.1350000000002</v>
      </c>
      <c r="AD171" s="738">
        <f t="shared" si="204"/>
        <v>13500</v>
      </c>
      <c r="AE171" s="202">
        <f t="shared" si="205"/>
        <v>13500</v>
      </c>
      <c r="AF171" s="202">
        <f t="shared" si="206"/>
        <v>5237.1350000000002</v>
      </c>
      <c r="AG171" s="738">
        <f t="shared" si="207"/>
        <v>8000</v>
      </c>
      <c r="AH171" s="202">
        <f t="shared" si="208"/>
        <v>-262.86500000000024</v>
      </c>
      <c r="AI171" s="203">
        <f t="shared" si="209"/>
        <v>5527</v>
      </c>
      <c r="AJ171" s="203">
        <f t="shared" si="210"/>
        <v>0</v>
      </c>
      <c r="AK171" s="203">
        <f t="shared" si="211"/>
        <v>6356.05</v>
      </c>
      <c r="AL171" s="203">
        <f t="shared" si="212"/>
        <v>0</v>
      </c>
      <c r="AM171" s="203">
        <f t="shared" si="213"/>
        <v>829.05000000000018</v>
      </c>
      <c r="AN171" s="203">
        <f>AL171-AJ171</f>
        <v>0</v>
      </c>
      <c r="AO171" s="205">
        <f t="shared" si="214"/>
        <v>1906.8150000000001</v>
      </c>
      <c r="AP171" s="205">
        <f t="shared" si="215"/>
        <v>0</v>
      </c>
      <c r="AQ171" s="205">
        <f t="shared" si="216"/>
        <v>0</v>
      </c>
      <c r="AR171" s="205">
        <f t="shared" si="217"/>
        <v>0</v>
      </c>
      <c r="AS171" s="205">
        <f t="shared" si="218"/>
        <v>0</v>
      </c>
      <c r="AT171" s="209">
        <f t="shared" si="194"/>
        <v>6356.05</v>
      </c>
      <c r="AU171" s="209">
        <f t="shared" si="194"/>
        <v>0</v>
      </c>
      <c r="AV171" s="203"/>
      <c r="AW171" s="251">
        <f t="shared" si="219"/>
        <v>6356.05</v>
      </c>
      <c r="AX171" s="251"/>
      <c r="AY171" s="661"/>
      <c r="AZ171" s="661"/>
      <c r="BA171" s="661"/>
    </row>
    <row r="172" spans="2:53" s="76" customFormat="1" ht="31.5">
      <c r="B172" s="703"/>
      <c r="C172" s="180" t="s">
        <v>1736</v>
      </c>
      <c r="D172" s="207"/>
      <c r="E172" s="193"/>
      <c r="F172" s="193"/>
      <c r="G172" s="183">
        <f>SUM(G166:G171)</f>
        <v>32875</v>
      </c>
      <c r="H172" s="752"/>
      <c r="I172" s="183">
        <f>SUM(I166:I171)</f>
        <v>0</v>
      </c>
      <c r="J172" s="752"/>
      <c r="K172" s="183"/>
      <c r="L172" s="183"/>
      <c r="M172" s="752"/>
      <c r="N172" s="183"/>
      <c r="O172" s="752"/>
      <c r="P172" s="183">
        <f>SUM(P166:P171)</f>
        <v>4931.25</v>
      </c>
      <c r="Q172" s="183">
        <f>SUM(Q166:Q171)</f>
        <v>0</v>
      </c>
      <c r="R172" s="183">
        <f>SUM(R166:R171)</f>
        <v>37806.25</v>
      </c>
      <c r="S172" s="183">
        <f>SUM(S166:S171)</f>
        <v>6</v>
      </c>
      <c r="T172" s="183">
        <f>SUM(T166:T171)</f>
        <v>0</v>
      </c>
      <c r="U172" s="183"/>
      <c r="V172" s="742"/>
      <c r="W172" s="183"/>
      <c r="X172" s="742"/>
      <c r="Y172" s="742"/>
      <c r="Z172" s="183">
        <f>SUM(Z166:Z171)</f>
        <v>10739.275000000001</v>
      </c>
      <c r="AA172" s="183">
        <f t="shared" ref="AA172:AV172" si="220">SUM(AA166:AA171)</f>
        <v>768.8</v>
      </c>
      <c r="AB172" s="797">
        <f t="shared" si="220"/>
        <v>49314.324999999997</v>
      </c>
      <c r="AC172" s="183">
        <f t="shared" si="220"/>
        <v>31685.675000000003</v>
      </c>
      <c r="AD172" s="183">
        <f>SUM(AD166:AD171)</f>
        <v>81000</v>
      </c>
      <c r="AE172" s="183">
        <f t="shared" si="220"/>
        <v>81000</v>
      </c>
      <c r="AF172" s="183">
        <f t="shared" si="220"/>
        <v>31685.675000000003</v>
      </c>
      <c r="AG172" s="183">
        <f>SUM(AG166:AG171)</f>
        <v>48000</v>
      </c>
      <c r="AH172" s="183">
        <f t="shared" si="220"/>
        <v>-545.52500000000123</v>
      </c>
      <c r="AI172" s="183">
        <f t="shared" si="220"/>
        <v>32875</v>
      </c>
      <c r="AJ172" s="183">
        <f t="shared" si="220"/>
        <v>0</v>
      </c>
      <c r="AK172" s="183">
        <f t="shared" si="220"/>
        <v>37806.25</v>
      </c>
      <c r="AL172" s="183">
        <f t="shared" si="220"/>
        <v>0</v>
      </c>
      <c r="AM172" s="183">
        <f t="shared" si="220"/>
        <v>4931.2500000000009</v>
      </c>
      <c r="AN172" s="183">
        <f t="shared" si="220"/>
        <v>0</v>
      </c>
      <c r="AO172" s="183">
        <f t="shared" si="220"/>
        <v>10739.275000000001</v>
      </c>
      <c r="AP172" s="183">
        <f t="shared" si="220"/>
        <v>0</v>
      </c>
      <c r="AQ172" s="183">
        <f t="shared" si="220"/>
        <v>768.8</v>
      </c>
      <c r="AR172" s="183">
        <f t="shared" si="220"/>
        <v>0</v>
      </c>
      <c r="AS172" s="183">
        <f t="shared" si="220"/>
        <v>0</v>
      </c>
      <c r="AT172" s="183">
        <f t="shared" si="220"/>
        <v>37806.25</v>
      </c>
      <c r="AU172" s="183">
        <f t="shared" si="220"/>
        <v>0</v>
      </c>
      <c r="AV172" s="183">
        <f t="shared" si="220"/>
        <v>0</v>
      </c>
      <c r="AW172" s="183">
        <f>SUM(AW166:AW171)</f>
        <v>37806.25</v>
      </c>
      <c r="AX172" s="183">
        <f>SUM(AX166:AX171)</f>
        <v>0</v>
      </c>
      <c r="AY172" s="661"/>
      <c r="AZ172" s="661"/>
      <c r="BA172" s="661"/>
    </row>
    <row r="173" spans="2:53" s="76" customFormat="1" ht="33">
      <c r="B173" s="703"/>
      <c r="C173" s="220" t="s">
        <v>1874</v>
      </c>
      <c r="D173" s="207"/>
      <c r="E173" s="193"/>
      <c r="F173" s="193"/>
      <c r="G173" s="183"/>
      <c r="H173" s="752"/>
      <c r="I173" s="183"/>
      <c r="J173" s="731"/>
      <c r="K173" s="193"/>
      <c r="L173" s="193"/>
      <c r="M173" s="731"/>
      <c r="N173" s="193"/>
      <c r="O173" s="731"/>
      <c r="P173" s="184"/>
      <c r="Q173" s="193"/>
      <c r="R173" s="183"/>
      <c r="S173" s="183"/>
      <c r="T173" s="183"/>
      <c r="U173" s="183"/>
      <c r="V173" s="742"/>
      <c r="W173" s="183"/>
      <c r="X173" s="742"/>
      <c r="Y173" s="742"/>
      <c r="Z173" s="183"/>
      <c r="AA173" s="183"/>
      <c r="AB173" s="797"/>
      <c r="AC173" s="208"/>
      <c r="AD173" s="208"/>
      <c r="AE173" s="208"/>
      <c r="AF173" s="208"/>
      <c r="AG173" s="208"/>
      <c r="AH173" s="208"/>
      <c r="AI173" s="203"/>
      <c r="AJ173" s="203"/>
      <c r="AK173" s="203"/>
      <c r="AL173" s="203"/>
      <c r="AM173" s="203"/>
      <c r="AN173" s="203"/>
      <c r="AO173" s="205"/>
      <c r="AP173" s="205"/>
      <c r="AQ173" s="205"/>
      <c r="AR173" s="205"/>
      <c r="AS173" s="205"/>
      <c r="AT173" s="209"/>
      <c r="AU173" s="209"/>
      <c r="AV173" s="203"/>
      <c r="AW173" s="251"/>
      <c r="AX173" s="251"/>
      <c r="AY173" s="661"/>
      <c r="AZ173" s="661"/>
      <c r="BA173" s="661"/>
    </row>
    <row r="174" spans="2:53" s="76" customFormat="1" ht="94.5">
      <c r="B174" s="703">
        <f>B171+1</f>
        <v>124</v>
      </c>
      <c r="C174" s="197" t="s">
        <v>1188</v>
      </c>
      <c r="D174" s="198"/>
      <c r="E174" s="703" t="s">
        <v>1194</v>
      </c>
      <c r="F174" s="703">
        <v>3</v>
      </c>
      <c r="G174" s="199">
        <v>3770</v>
      </c>
      <c r="H174" s="736"/>
      <c r="I174" s="199"/>
      <c r="J174" s="736"/>
      <c r="K174" s="199"/>
      <c r="L174" s="199"/>
      <c r="M174" s="736"/>
      <c r="N174" s="199"/>
      <c r="O174" s="737">
        <v>0.15</v>
      </c>
      <c r="P174" s="204">
        <f>G174*O174</f>
        <v>565.5</v>
      </c>
      <c r="Q174" s="206"/>
      <c r="R174" s="199">
        <f>G174+I174+K174+L174+N174+P174+Q174</f>
        <v>4335.5</v>
      </c>
      <c r="S174" s="199">
        <v>1</v>
      </c>
      <c r="T174" s="199"/>
      <c r="U174" s="199"/>
      <c r="V174" s="737">
        <v>0.1</v>
      </c>
      <c r="W174" s="199">
        <f>R174*V174</f>
        <v>433.55</v>
      </c>
      <c r="X174" s="718"/>
      <c r="Y174" s="737"/>
      <c r="Z174" s="199"/>
      <c r="AA174" s="199">
        <f>AH174</f>
        <v>3664.5</v>
      </c>
      <c r="AB174" s="796">
        <f>(R174+Z174+U174+W174)*S174+AA174</f>
        <v>8433.5499999999993</v>
      </c>
      <c r="AC174" s="738">
        <f>AF174</f>
        <v>0</v>
      </c>
      <c r="AD174" s="738">
        <f>AB174+AC174</f>
        <v>8433.5499999999993</v>
      </c>
      <c r="AE174" s="202">
        <f>AB174</f>
        <v>8433.5499999999993</v>
      </c>
      <c r="AF174" s="202">
        <f>AE174-AB174</f>
        <v>0</v>
      </c>
      <c r="AG174" s="738">
        <f>8000*S174</f>
        <v>8000</v>
      </c>
      <c r="AH174" s="202">
        <f>AG174-(R174*S174)</f>
        <v>3664.5</v>
      </c>
      <c r="AI174" s="203">
        <f>G174*S174</f>
        <v>3770</v>
      </c>
      <c r="AJ174" s="203">
        <f>G174*T174</f>
        <v>0</v>
      </c>
      <c r="AK174" s="203">
        <f>R174*S174</f>
        <v>4335.5</v>
      </c>
      <c r="AL174" s="203">
        <f>R174*T174</f>
        <v>0</v>
      </c>
      <c r="AM174" s="203">
        <f t="shared" ref="AM174:AN178" si="221">AK174-AI174</f>
        <v>565.5</v>
      </c>
      <c r="AN174" s="203">
        <f t="shared" si="221"/>
        <v>0</v>
      </c>
      <c r="AO174" s="205">
        <f>Z174*S174</f>
        <v>0</v>
      </c>
      <c r="AP174" s="205">
        <f>Z174*T174</f>
        <v>0</v>
      </c>
      <c r="AQ174" s="205">
        <f>AA174</f>
        <v>3664.5</v>
      </c>
      <c r="AR174" s="205">
        <f>W174*S174</f>
        <v>433.55</v>
      </c>
      <c r="AS174" s="205">
        <f>W174*T174</f>
        <v>0</v>
      </c>
      <c r="AT174" s="209">
        <f t="shared" si="194"/>
        <v>4335.5</v>
      </c>
      <c r="AU174" s="209">
        <f t="shared" si="194"/>
        <v>0</v>
      </c>
      <c r="AV174" s="203"/>
      <c r="AW174" s="251">
        <f>R174*S174</f>
        <v>4335.5</v>
      </c>
      <c r="AX174" s="251"/>
      <c r="AY174" s="661"/>
      <c r="AZ174" s="661"/>
      <c r="BA174" s="661"/>
    </row>
    <row r="175" spans="2:53" s="76" customFormat="1" ht="94.5">
      <c r="B175" s="703">
        <f t="shared" si="184"/>
        <v>125</v>
      </c>
      <c r="C175" s="197" t="s">
        <v>1188</v>
      </c>
      <c r="D175" s="198"/>
      <c r="E175" s="703" t="s">
        <v>1741</v>
      </c>
      <c r="F175" s="703">
        <v>3</v>
      </c>
      <c r="G175" s="199">
        <v>3770</v>
      </c>
      <c r="H175" s="736"/>
      <c r="I175" s="199"/>
      <c r="J175" s="737"/>
      <c r="K175" s="201"/>
      <c r="L175" s="201"/>
      <c r="M175" s="736"/>
      <c r="N175" s="199"/>
      <c r="O175" s="737">
        <v>0.15</v>
      </c>
      <c r="P175" s="204">
        <f>G175*O175</f>
        <v>565.5</v>
      </c>
      <c r="Q175" s="206"/>
      <c r="R175" s="199">
        <f>G175+I175+K175+L175+N175+P175+Q175</f>
        <v>4335.5</v>
      </c>
      <c r="S175" s="199">
        <v>1</v>
      </c>
      <c r="T175" s="199"/>
      <c r="U175" s="199"/>
      <c r="V175" s="737">
        <v>0.1</v>
      </c>
      <c r="W175" s="199">
        <f>R175*V175</f>
        <v>433.55</v>
      </c>
      <c r="X175" s="718"/>
      <c r="Y175" s="737"/>
      <c r="Z175" s="199"/>
      <c r="AA175" s="199">
        <f>AH175</f>
        <v>3664.5</v>
      </c>
      <c r="AB175" s="796">
        <f>(R175+Z175+U175+W175)*S175+AA175</f>
        <v>8433.5499999999993</v>
      </c>
      <c r="AC175" s="738">
        <f>AF175</f>
        <v>0</v>
      </c>
      <c r="AD175" s="738">
        <f>AB175+AC175</f>
        <v>8433.5499999999993</v>
      </c>
      <c r="AE175" s="202">
        <f>AB175</f>
        <v>8433.5499999999993</v>
      </c>
      <c r="AF175" s="202">
        <f>AE175-AB175</f>
        <v>0</v>
      </c>
      <c r="AG175" s="738">
        <f>8000*S175</f>
        <v>8000</v>
      </c>
      <c r="AH175" s="202">
        <f>AG175-(R175*S175)</f>
        <v>3664.5</v>
      </c>
      <c r="AI175" s="203">
        <f>G175*S175</f>
        <v>3770</v>
      </c>
      <c r="AJ175" s="203">
        <f>G175*T175</f>
        <v>0</v>
      </c>
      <c r="AK175" s="203">
        <f>R175*S175</f>
        <v>4335.5</v>
      </c>
      <c r="AL175" s="203">
        <f>R175*T175</f>
        <v>0</v>
      </c>
      <c r="AM175" s="203">
        <f t="shared" si="221"/>
        <v>565.5</v>
      </c>
      <c r="AN175" s="203">
        <f t="shared" si="221"/>
        <v>0</v>
      </c>
      <c r="AO175" s="205">
        <f>Z175*S175</f>
        <v>0</v>
      </c>
      <c r="AP175" s="205">
        <f>Z175*T175</f>
        <v>0</v>
      </c>
      <c r="AQ175" s="205">
        <f>AA175</f>
        <v>3664.5</v>
      </c>
      <c r="AR175" s="205">
        <f>W175*S175</f>
        <v>433.55</v>
      </c>
      <c r="AS175" s="205">
        <f>W175*T175</f>
        <v>0</v>
      </c>
      <c r="AT175" s="209">
        <f t="shared" si="194"/>
        <v>4335.5</v>
      </c>
      <c r="AU175" s="209">
        <f t="shared" si="194"/>
        <v>0</v>
      </c>
      <c r="AV175" s="203"/>
      <c r="AW175" s="251">
        <f>R175*S175</f>
        <v>4335.5</v>
      </c>
      <c r="AX175" s="251"/>
      <c r="AY175" s="661"/>
      <c r="AZ175" s="661"/>
      <c r="BA175" s="661"/>
    </row>
    <row r="176" spans="2:53" s="76" customFormat="1" ht="94.5">
      <c r="B176" s="703">
        <f t="shared" si="184"/>
        <v>126</v>
      </c>
      <c r="C176" s="197" t="s">
        <v>1188</v>
      </c>
      <c r="D176" s="198"/>
      <c r="E176" s="703" t="s">
        <v>1195</v>
      </c>
      <c r="F176" s="703">
        <v>3</v>
      </c>
      <c r="G176" s="199">
        <v>3770</v>
      </c>
      <c r="H176" s="736"/>
      <c r="I176" s="199"/>
      <c r="J176" s="737"/>
      <c r="K176" s="201"/>
      <c r="L176" s="201"/>
      <c r="M176" s="736"/>
      <c r="N176" s="199"/>
      <c r="O176" s="737">
        <v>0.15</v>
      </c>
      <c r="P176" s="204">
        <f>G176*O176</f>
        <v>565.5</v>
      </c>
      <c r="Q176" s="206"/>
      <c r="R176" s="199">
        <f>G176+I176+K176+L176+N176+P176+Q176</f>
        <v>4335.5</v>
      </c>
      <c r="S176" s="199">
        <v>1</v>
      </c>
      <c r="T176" s="199"/>
      <c r="U176" s="199"/>
      <c r="V176" s="737">
        <v>0.1</v>
      </c>
      <c r="W176" s="199">
        <f>R176*V176</f>
        <v>433.55</v>
      </c>
      <c r="X176" s="718"/>
      <c r="Y176" s="737"/>
      <c r="Z176" s="199"/>
      <c r="AA176" s="199">
        <f>AH176</f>
        <v>3664.5</v>
      </c>
      <c r="AB176" s="796">
        <f>(R176+Z176+U176+W176)*S176+AA176</f>
        <v>8433.5499999999993</v>
      </c>
      <c r="AC176" s="738">
        <f>AF176</f>
        <v>0</v>
      </c>
      <c r="AD176" s="738">
        <f>AB176+AC176</f>
        <v>8433.5499999999993</v>
      </c>
      <c r="AE176" s="202">
        <f>AB176</f>
        <v>8433.5499999999993</v>
      </c>
      <c r="AF176" s="202">
        <f>AE176-AB176</f>
        <v>0</v>
      </c>
      <c r="AG176" s="738">
        <f>8000*S176</f>
        <v>8000</v>
      </c>
      <c r="AH176" s="202">
        <f>AG176-(R176*S176)</f>
        <v>3664.5</v>
      </c>
      <c r="AI176" s="203">
        <f>G176*S176</f>
        <v>3770</v>
      </c>
      <c r="AJ176" s="203">
        <f>G176*T176</f>
        <v>0</v>
      </c>
      <c r="AK176" s="203">
        <f>R176*S176</f>
        <v>4335.5</v>
      </c>
      <c r="AL176" s="203">
        <f>R176*T176</f>
        <v>0</v>
      </c>
      <c r="AM176" s="203">
        <f t="shared" si="221"/>
        <v>565.5</v>
      </c>
      <c r="AN176" s="203">
        <f t="shared" si="221"/>
        <v>0</v>
      </c>
      <c r="AO176" s="205">
        <f>Z176*S176</f>
        <v>0</v>
      </c>
      <c r="AP176" s="205">
        <f>Z176*T176</f>
        <v>0</v>
      </c>
      <c r="AQ176" s="205">
        <f>AA176</f>
        <v>3664.5</v>
      </c>
      <c r="AR176" s="205">
        <f>W176*S176</f>
        <v>433.55</v>
      </c>
      <c r="AS176" s="205">
        <f>W176*T176</f>
        <v>0</v>
      </c>
      <c r="AT176" s="209">
        <f t="shared" si="194"/>
        <v>4335.5</v>
      </c>
      <c r="AU176" s="209">
        <f t="shared" si="194"/>
        <v>0</v>
      </c>
      <c r="AV176" s="203"/>
      <c r="AW176" s="251">
        <f>R176*S176</f>
        <v>4335.5</v>
      </c>
      <c r="AX176" s="251"/>
      <c r="AY176" s="661"/>
      <c r="AZ176" s="661"/>
      <c r="BA176" s="661"/>
    </row>
    <row r="177" spans="2:53" s="76" customFormat="1" ht="94.5">
      <c r="B177" s="703">
        <f t="shared" si="184"/>
        <v>127</v>
      </c>
      <c r="C177" s="197" t="s">
        <v>1188</v>
      </c>
      <c r="D177" s="198"/>
      <c r="E177" s="703" t="s">
        <v>1199</v>
      </c>
      <c r="F177" s="703">
        <v>3</v>
      </c>
      <c r="G177" s="199">
        <v>3770</v>
      </c>
      <c r="H177" s="736"/>
      <c r="I177" s="199"/>
      <c r="J177" s="737"/>
      <c r="K177" s="201"/>
      <c r="L177" s="201"/>
      <c r="M177" s="736"/>
      <c r="N177" s="199"/>
      <c r="O177" s="737">
        <v>0.15</v>
      </c>
      <c r="P177" s="204">
        <f>G177*O177</f>
        <v>565.5</v>
      </c>
      <c r="Q177" s="206"/>
      <c r="R177" s="199">
        <f>G177+I177+K177+L177+N177+P177+Q177</f>
        <v>4335.5</v>
      </c>
      <c r="S177" s="199">
        <v>1</v>
      </c>
      <c r="T177" s="199"/>
      <c r="U177" s="199"/>
      <c r="V177" s="737">
        <v>0.1</v>
      </c>
      <c r="W177" s="199">
        <f>R177*V177</f>
        <v>433.55</v>
      </c>
      <c r="X177" s="718"/>
      <c r="Y177" s="737"/>
      <c r="Z177" s="199"/>
      <c r="AA177" s="199">
        <f>AH177</f>
        <v>3664.5</v>
      </c>
      <c r="AB177" s="796">
        <f>(R177+Z177+U177+W177)*S177+AA177</f>
        <v>8433.5499999999993</v>
      </c>
      <c r="AC177" s="738">
        <f>AF177</f>
        <v>0</v>
      </c>
      <c r="AD177" s="738">
        <f>AB177+AC177</f>
        <v>8433.5499999999993</v>
      </c>
      <c r="AE177" s="202">
        <f>AB177</f>
        <v>8433.5499999999993</v>
      </c>
      <c r="AF177" s="202">
        <f>AE177-AB177</f>
        <v>0</v>
      </c>
      <c r="AG177" s="738">
        <f>8000*S177</f>
        <v>8000</v>
      </c>
      <c r="AH177" s="202">
        <f>AG177-(R177*S177)</f>
        <v>3664.5</v>
      </c>
      <c r="AI177" s="203">
        <f>G177*S177</f>
        <v>3770</v>
      </c>
      <c r="AJ177" s="203">
        <f>G177*T177</f>
        <v>0</v>
      </c>
      <c r="AK177" s="203">
        <f>R177*S177</f>
        <v>4335.5</v>
      </c>
      <c r="AL177" s="203">
        <f>R177*T177</f>
        <v>0</v>
      </c>
      <c r="AM177" s="203">
        <f t="shared" si="221"/>
        <v>565.5</v>
      </c>
      <c r="AN177" s="203">
        <f t="shared" si="221"/>
        <v>0</v>
      </c>
      <c r="AO177" s="205">
        <f>Z177*S177</f>
        <v>0</v>
      </c>
      <c r="AP177" s="205">
        <f>Z177*T177</f>
        <v>0</v>
      </c>
      <c r="AQ177" s="205">
        <f>AA177</f>
        <v>3664.5</v>
      </c>
      <c r="AR177" s="205">
        <f>W177*S177</f>
        <v>433.55</v>
      </c>
      <c r="AS177" s="205">
        <f>W177*T177</f>
        <v>0</v>
      </c>
      <c r="AT177" s="209">
        <f t="shared" si="194"/>
        <v>4335.5</v>
      </c>
      <c r="AU177" s="209">
        <f t="shared" si="194"/>
        <v>0</v>
      </c>
      <c r="AV177" s="203"/>
      <c r="AW177" s="251">
        <f>R177*S177</f>
        <v>4335.5</v>
      </c>
      <c r="AX177" s="251"/>
      <c r="AY177" s="661"/>
      <c r="AZ177" s="661"/>
      <c r="BA177" s="661"/>
    </row>
    <row r="178" spans="2:53" s="76" customFormat="1" ht="94.5">
      <c r="B178" s="703">
        <f t="shared" si="184"/>
        <v>128</v>
      </c>
      <c r="C178" s="197" t="s">
        <v>1188</v>
      </c>
      <c r="D178" s="198"/>
      <c r="E178" s="703" t="s">
        <v>1200</v>
      </c>
      <c r="F178" s="703">
        <v>3</v>
      </c>
      <c r="G178" s="199">
        <v>3770</v>
      </c>
      <c r="H178" s="736"/>
      <c r="I178" s="199"/>
      <c r="J178" s="737"/>
      <c r="K178" s="201"/>
      <c r="L178" s="201"/>
      <c r="M178" s="736"/>
      <c r="N178" s="199"/>
      <c r="O178" s="737">
        <v>0.15</v>
      </c>
      <c r="P178" s="204">
        <f>G178*O178</f>
        <v>565.5</v>
      </c>
      <c r="Q178" s="206"/>
      <c r="R178" s="199">
        <f>G178+I178+K178+L178+N178+P178+Q178</f>
        <v>4335.5</v>
      </c>
      <c r="S178" s="199">
        <v>1</v>
      </c>
      <c r="T178" s="199"/>
      <c r="U178" s="199"/>
      <c r="V178" s="737">
        <v>0.1</v>
      </c>
      <c r="W178" s="199">
        <f>R178*V178</f>
        <v>433.55</v>
      </c>
      <c r="X178" s="718"/>
      <c r="Y178" s="737"/>
      <c r="Z178" s="199"/>
      <c r="AA178" s="199">
        <f>AH178</f>
        <v>3664.5</v>
      </c>
      <c r="AB178" s="796">
        <f>(R178+Z178+U178+W178)*S178+AA178</f>
        <v>8433.5499999999993</v>
      </c>
      <c r="AC178" s="738">
        <f>AF178</f>
        <v>0</v>
      </c>
      <c r="AD178" s="738">
        <f>AB178+AC178</f>
        <v>8433.5499999999993</v>
      </c>
      <c r="AE178" s="202">
        <f>AB178</f>
        <v>8433.5499999999993</v>
      </c>
      <c r="AF178" s="202">
        <f>AE178-AB178</f>
        <v>0</v>
      </c>
      <c r="AG178" s="738">
        <f>8000*S178</f>
        <v>8000</v>
      </c>
      <c r="AH178" s="202">
        <f>AG178-(R178*S178)</f>
        <v>3664.5</v>
      </c>
      <c r="AI178" s="203">
        <f>G178*S178</f>
        <v>3770</v>
      </c>
      <c r="AJ178" s="203">
        <f>G178*T178</f>
        <v>0</v>
      </c>
      <c r="AK178" s="203">
        <f>R178*S178</f>
        <v>4335.5</v>
      </c>
      <c r="AL178" s="203">
        <f>R178*T178</f>
        <v>0</v>
      </c>
      <c r="AM178" s="203">
        <f t="shared" si="221"/>
        <v>565.5</v>
      </c>
      <c r="AN178" s="203">
        <f t="shared" si="221"/>
        <v>0</v>
      </c>
      <c r="AO178" s="205">
        <f>Z178*S178</f>
        <v>0</v>
      </c>
      <c r="AP178" s="205">
        <f>Z178*T178</f>
        <v>0</v>
      </c>
      <c r="AQ178" s="205">
        <f>AA178</f>
        <v>3664.5</v>
      </c>
      <c r="AR178" s="205">
        <f>W178*S178</f>
        <v>433.55</v>
      </c>
      <c r="AS178" s="205">
        <f>W178*T178</f>
        <v>0</v>
      </c>
      <c r="AT178" s="209">
        <f t="shared" si="194"/>
        <v>4335.5</v>
      </c>
      <c r="AU178" s="209">
        <f t="shared" si="194"/>
        <v>0</v>
      </c>
      <c r="AV178" s="203"/>
      <c r="AW178" s="251">
        <f>R178*S178</f>
        <v>4335.5</v>
      </c>
      <c r="AX178" s="251"/>
      <c r="AY178" s="661"/>
      <c r="AZ178" s="661"/>
      <c r="BA178" s="661"/>
    </row>
    <row r="179" spans="2:53" s="76" customFormat="1" ht="31.5">
      <c r="B179" s="703"/>
      <c r="C179" s="180" t="s">
        <v>1736</v>
      </c>
      <c r="D179" s="207"/>
      <c r="E179" s="193"/>
      <c r="F179" s="193"/>
      <c r="G179" s="183">
        <f>SUM(G174:G178)</f>
        <v>18850</v>
      </c>
      <c r="H179" s="731"/>
      <c r="I179" s="193"/>
      <c r="J179" s="731"/>
      <c r="K179" s="193"/>
      <c r="L179" s="193"/>
      <c r="M179" s="731"/>
      <c r="N179" s="193"/>
      <c r="O179" s="731"/>
      <c r="P179" s="184">
        <f>SUM(P174:P178)</f>
        <v>2827.5</v>
      </c>
      <c r="Q179" s="183"/>
      <c r="R179" s="183">
        <f>SUM(R174:R178)</f>
        <v>21677.5</v>
      </c>
      <c r="S179" s="183">
        <f>SUM(S174:S178)</f>
        <v>5</v>
      </c>
      <c r="T179" s="183">
        <f>SUM(T174:T178)</f>
        <v>0</v>
      </c>
      <c r="U179" s="185">
        <f>SUM(U174:U178)</f>
        <v>0</v>
      </c>
      <c r="V179" s="742"/>
      <c r="W179" s="183">
        <f>SUM(W174:W178)</f>
        <v>2167.75</v>
      </c>
      <c r="X179" s="742"/>
      <c r="Y179" s="742"/>
      <c r="Z179" s="183">
        <f t="shared" ref="Z179:AV179" si="222">SUM(Z174:Z178)</f>
        <v>0</v>
      </c>
      <c r="AA179" s="183">
        <f t="shared" si="222"/>
        <v>18322.5</v>
      </c>
      <c r="AB179" s="797">
        <f t="shared" si="222"/>
        <v>42167.75</v>
      </c>
      <c r="AC179" s="183">
        <f t="shared" si="222"/>
        <v>0</v>
      </c>
      <c r="AD179" s="183">
        <f>SUM(AD174:AD178)</f>
        <v>42167.75</v>
      </c>
      <c r="AE179" s="183">
        <f t="shared" si="222"/>
        <v>42167.75</v>
      </c>
      <c r="AF179" s="183">
        <f t="shared" si="222"/>
        <v>0</v>
      </c>
      <c r="AG179" s="183">
        <f t="shared" si="222"/>
        <v>40000</v>
      </c>
      <c r="AH179" s="183">
        <f t="shared" si="222"/>
        <v>18322.5</v>
      </c>
      <c r="AI179" s="183">
        <f t="shared" si="222"/>
        <v>18850</v>
      </c>
      <c r="AJ179" s="183">
        <f t="shared" si="222"/>
        <v>0</v>
      </c>
      <c r="AK179" s="183">
        <f t="shared" si="222"/>
        <v>21677.5</v>
      </c>
      <c r="AL179" s="183">
        <f t="shared" si="222"/>
        <v>0</v>
      </c>
      <c r="AM179" s="183">
        <f t="shared" si="222"/>
        <v>2827.5</v>
      </c>
      <c r="AN179" s="183">
        <f t="shared" si="222"/>
        <v>0</v>
      </c>
      <c r="AO179" s="183">
        <f t="shared" si="222"/>
        <v>0</v>
      </c>
      <c r="AP179" s="183">
        <f t="shared" si="222"/>
        <v>0</v>
      </c>
      <c r="AQ179" s="183">
        <f t="shared" si="222"/>
        <v>18322.5</v>
      </c>
      <c r="AR179" s="183">
        <f t="shared" si="222"/>
        <v>2167.75</v>
      </c>
      <c r="AS179" s="183">
        <f t="shared" si="222"/>
        <v>0</v>
      </c>
      <c r="AT179" s="183">
        <f t="shared" si="222"/>
        <v>21677.5</v>
      </c>
      <c r="AU179" s="183">
        <f t="shared" si="222"/>
        <v>0</v>
      </c>
      <c r="AV179" s="183">
        <f t="shared" si="222"/>
        <v>0</v>
      </c>
      <c r="AW179" s="183">
        <f>SUM(AW174:AW178)</f>
        <v>21677.5</v>
      </c>
      <c r="AX179" s="183">
        <f>SUM(AX174:AX178)</f>
        <v>0</v>
      </c>
      <c r="AY179" s="661"/>
      <c r="AZ179" s="661"/>
      <c r="BA179" s="661"/>
    </row>
    <row r="180" spans="2:53" s="76" customFormat="1" ht="31.5">
      <c r="B180" s="703"/>
      <c r="C180" s="180" t="s">
        <v>1278</v>
      </c>
      <c r="D180" s="207"/>
      <c r="E180" s="194"/>
      <c r="F180" s="193"/>
      <c r="G180" s="185">
        <f>G164+G172+G179</f>
        <v>58978</v>
      </c>
      <c r="H180" s="753"/>
      <c r="I180" s="185"/>
      <c r="J180" s="753"/>
      <c r="K180" s="185"/>
      <c r="L180" s="185"/>
      <c r="M180" s="753"/>
      <c r="N180" s="185"/>
      <c r="O180" s="753"/>
      <c r="P180" s="185">
        <f t="shared" ref="P180:AV180" si="223">P164+P172+P179</f>
        <v>8846.7000000000007</v>
      </c>
      <c r="Q180" s="185"/>
      <c r="R180" s="185">
        <f t="shared" si="223"/>
        <v>67824.7</v>
      </c>
      <c r="S180" s="183">
        <f t="shared" si="223"/>
        <v>11.75</v>
      </c>
      <c r="T180" s="183">
        <f t="shared" si="223"/>
        <v>0</v>
      </c>
      <c r="U180" s="185"/>
      <c r="V180" s="753"/>
      <c r="W180" s="185">
        <f t="shared" si="223"/>
        <v>2167.75</v>
      </c>
      <c r="X180" s="753"/>
      <c r="Y180" s="753"/>
      <c r="Z180" s="185">
        <f>Z164+Z172+Z179</f>
        <v>13241.560000000001</v>
      </c>
      <c r="AA180" s="185">
        <f t="shared" si="223"/>
        <v>19091.3</v>
      </c>
      <c r="AB180" s="801">
        <f t="shared" si="223"/>
        <v>99614.501250000001</v>
      </c>
      <c r="AC180" s="185">
        <f t="shared" si="223"/>
        <v>38553.248749999999</v>
      </c>
      <c r="AD180" s="185">
        <f>AD164+AD172+AD179</f>
        <v>138167.75</v>
      </c>
      <c r="AE180" s="185">
        <f t="shared" si="223"/>
        <v>138167.75</v>
      </c>
      <c r="AF180" s="185">
        <f t="shared" si="223"/>
        <v>38553.248749999999</v>
      </c>
      <c r="AG180" s="185">
        <f>AG164+AG172+AG179</f>
        <v>94000</v>
      </c>
      <c r="AH180" s="185">
        <f t="shared" si="223"/>
        <v>19909.401249999999</v>
      </c>
      <c r="AI180" s="185">
        <f t="shared" si="223"/>
        <v>57164.75</v>
      </c>
      <c r="AJ180" s="185">
        <f t="shared" si="223"/>
        <v>0</v>
      </c>
      <c r="AK180" s="185">
        <f t="shared" si="223"/>
        <v>65739.462499999994</v>
      </c>
      <c r="AL180" s="185">
        <f t="shared" si="223"/>
        <v>0</v>
      </c>
      <c r="AM180" s="185">
        <f t="shared" si="223"/>
        <v>8574.7125000000015</v>
      </c>
      <c r="AN180" s="185">
        <f t="shared" si="223"/>
        <v>0</v>
      </c>
      <c r="AO180" s="185">
        <f t="shared" si="223"/>
        <v>12615.988750000002</v>
      </c>
      <c r="AP180" s="185">
        <f t="shared" si="223"/>
        <v>0</v>
      </c>
      <c r="AQ180" s="185">
        <f t="shared" si="223"/>
        <v>19091.3</v>
      </c>
      <c r="AR180" s="185">
        <f t="shared" si="223"/>
        <v>2167.75</v>
      </c>
      <c r="AS180" s="185">
        <f t="shared" si="223"/>
        <v>0</v>
      </c>
      <c r="AT180" s="185">
        <f t="shared" si="223"/>
        <v>65739.462499999994</v>
      </c>
      <c r="AU180" s="185">
        <f t="shared" si="223"/>
        <v>0</v>
      </c>
      <c r="AV180" s="185">
        <f t="shared" si="223"/>
        <v>0</v>
      </c>
      <c r="AW180" s="185">
        <f>AW164+AW172+AW179</f>
        <v>65739.462499999994</v>
      </c>
      <c r="AX180" s="185">
        <f>AX164+AX172+AX179</f>
        <v>0</v>
      </c>
      <c r="AY180" s="661"/>
      <c r="AZ180" s="661"/>
      <c r="BA180" s="661"/>
    </row>
    <row r="181" spans="2:53" s="76" customFormat="1" ht="33">
      <c r="B181" s="703"/>
      <c r="C181" s="191" t="s">
        <v>1769</v>
      </c>
      <c r="D181" s="192"/>
      <c r="E181" s="193"/>
      <c r="F181" s="193"/>
      <c r="G181" s="193"/>
      <c r="H181" s="731"/>
      <c r="I181" s="193"/>
      <c r="J181" s="731"/>
      <c r="K181" s="193"/>
      <c r="L181" s="193"/>
      <c r="M181" s="731"/>
      <c r="N181" s="193"/>
      <c r="O181" s="731"/>
      <c r="P181" s="193"/>
      <c r="Q181" s="193"/>
      <c r="R181" s="193"/>
      <c r="S181" s="193"/>
      <c r="T181" s="193"/>
      <c r="U181" s="193"/>
      <c r="V181" s="732"/>
      <c r="W181" s="193"/>
      <c r="X181" s="732"/>
      <c r="Y181" s="732"/>
      <c r="Z181" s="193"/>
      <c r="AA181" s="193"/>
      <c r="AB181" s="795"/>
      <c r="AC181" s="195"/>
      <c r="AD181" s="195"/>
      <c r="AE181" s="195"/>
      <c r="AF181" s="195"/>
      <c r="AG181" s="195"/>
      <c r="AH181" s="195"/>
      <c r="AI181" s="203">
        <f>G181*S181</f>
        <v>0</v>
      </c>
      <c r="AJ181" s="203">
        <f>G181*T181</f>
        <v>0</v>
      </c>
      <c r="AK181" s="203">
        <f>R181*S181</f>
        <v>0</v>
      </c>
      <c r="AL181" s="203">
        <f>R181*T181</f>
        <v>0</v>
      </c>
      <c r="AM181" s="203">
        <f t="shared" ref="AM181:AN184" si="224">AK181-AI181</f>
        <v>0</v>
      </c>
      <c r="AN181" s="203">
        <f t="shared" si="224"/>
        <v>0</v>
      </c>
      <c r="AO181" s="205">
        <f>Z181*S181</f>
        <v>0</v>
      </c>
      <c r="AP181" s="205">
        <f>Z181*T181</f>
        <v>0</v>
      </c>
      <c r="AQ181" s="205">
        <f>AA181</f>
        <v>0</v>
      </c>
      <c r="AR181" s="205">
        <f>W181*S181</f>
        <v>0</v>
      </c>
      <c r="AS181" s="205">
        <f>W181*T181</f>
        <v>0</v>
      </c>
      <c r="AT181" s="209"/>
      <c r="AU181" s="209"/>
      <c r="AV181" s="203"/>
      <c r="AW181" s="251"/>
      <c r="AX181" s="251"/>
      <c r="AY181" s="661"/>
      <c r="AZ181" s="661"/>
      <c r="BA181" s="661"/>
    </row>
    <row r="182" spans="2:53" s="76" customFormat="1" ht="33">
      <c r="B182" s="703"/>
      <c r="C182" s="220" t="s">
        <v>1382</v>
      </c>
      <c r="D182" s="217"/>
      <c r="E182" s="218"/>
      <c r="F182" s="218"/>
      <c r="G182" s="218"/>
      <c r="H182" s="745"/>
      <c r="I182" s="218"/>
      <c r="J182" s="745"/>
      <c r="K182" s="218"/>
      <c r="L182" s="218"/>
      <c r="M182" s="745"/>
      <c r="N182" s="218"/>
      <c r="O182" s="745"/>
      <c r="P182" s="218"/>
      <c r="Q182" s="218"/>
      <c r="R182" s="218"/>
      <c r="S182" s="218"/>
      <c r="T182" s="218"/>
      <c r="U182" s="218"/>
      <c r="V182" s="746"/>
      <c r="W182" s="218"/>
      <c r="X182" s="746"/>
      <c r="Y182" s="746"/>
      <c r="Z182" s="218"/>
      <c r="AA182" s="218"/>
      <c r="AB182" s="799"/>
      <c r="AC182" s="219"/>
      <c r="AD182" s="219"/>
      <c r="AE182" s="219"/>
      <c r="AF182" s="219"/>
      <c r="AG182" s="219"/>
      <c r="AH182" s="219"/>
      <c r="AI182" s="203">
        <f>G182*S182</f>
        <v>0</v>
      </c>
      <c r="AJ182" s="203">
        <f>G182*T182</f>
        <v>0</v>
      </c>
      <c r="AK182" s="203">
        <f>R182*S182</f>
        <v>0</v>
      </c>
      <c r="AL182" s="203">
        <f>R182*T182</f>
        <v>0</v>
      </c>
      <c r="AM182" s="203">
        <f t="shared" si="224"/>
        <v>0</v>
      </c>
      <c r="AN182" s="203">
        <f t="shared" si="224"/>
        <v>0</v>
      </c>
      <c r="AO182" s="205">
        <f>Z182*S182</f>
        <v>0</v>
      </c>
      <c r="AP182" s="205">
        <f>Z182*T182</f>
        <v>0</v>
      </c>
      <c r="AQ182" s="205">
        <f>AA182</f>
        <v>0</v>
      </c>
      <c r="AR182" s="205">
        <f>W182*S182</f>
        <v>0</v>
      </c>
      <c r="AS182" s="205">
        <f>W182*T182</f>
        <v>0</v>
      </c>
      <c r="AT182" s="209"/>
      <c r="AU182" s="209"/>
      <c r="AV182" s="203"/>
      <c r="AW182" s="251"/>
      <c r="AX182" s="251"/>
      <c r="AY182" s="661"/>
      <c r="AZ182" s="661"/>
      <c r="BA182" s="661"/>
    </row>
    <row r="183" spans="2:53" s="76" customFormat="1" ht="63">
      <c r="B183" s="703">
        <f>B178+1</f>
        <v>129</v>
      </c>
      <c r="C183" s="197" t="s">
        <v>1770</v>
      </c>
      <c r="D183" s="198" t="s">
        <v>1027</v>
      </c>
      <c r="E183" s="703" t="s">
        <v>1028</v>
      </c>
      <c r="F183" s="703">
        <v>13</v>
      </c>
      <c r="G183" s="199">
        <v>7253</v>
      </c>
      <c r="H183" s="737">
        <v>0.1</v>
      </c>
      <c r="I183" s="703">
        <f>G183*H183</f>
        <v>725.30000000000007</v>
      </c>
      <c r="J183" s="718"/>
      <c r="K183" s="703"/>
      <c r="L183" s="703"/>
      <c r="M183" s="718"/>
      <c r="N183" s="193"/>
      <c r="O183" s="718"/>
      <c r="P183" s="703"/>
      <c r="Q183" s="703"/>
      <c r="R183" s="199">
        <f>G183+I183+K183+L183+N183+P183+Q183</f>
        <v>7978.3</v>
      </c>
      <c r="S183" s="199">
        <v>1</v>
      </c>
      <c r="T183" s="199"/>
      <c r="U183" s="199"/>
      <c r="V183" s="736"/>
      <c r="W183" s="199"/>
      <c r="X183" s="718">
        <v>34</v>
      </c>
      <c r="Y183" s="737">
        <v>0.3</v>
      </c>
      <c r="Z183" s="199">
        <f>R183*Y183</f>
        <v>2393.4899999999998</v>
      </c>
      <c r="AA183" s="199"/>
      <c r="AB183" s="796">
        <f>(R183+Z183)*S183+AA183</f>
        <v>10371.790000000001</v>
      </c>
      <c r="AC183" s="738">
        <f>AF183</f>
        <v>9628.2099999999991</v>
      </c>
      <c r="AD183" s="738">
        <f>AB183+AC183</f>
        <v>20000</v>
      </c>
      <c r="AE183" s="202">
        <f>20000*S183</f>
        <v>20000</v>
      </c>
      <c r="AF183" s="202">
        <f>AE183-AB183</f>
        <v>9628.2099999999991</v>
      </c>
      <c r="AG183" s="738">
        <f>8000*S183</f>
        <v>8000</v>
      </c>
      <c r="AH183" s="202">
        <f>AG183-AB183</f>
        <v>-2371.7900000000009</v>
      </c>
      <c r="AI183" s="203">
        <f>G183*S183</f>
        <v>7253</v>
      </c>
      <c r="AJ183" s="203">
        <f>G183*T183</f>
        <v>0</v>
      </c>
      <c r="AK183" s="203">
        <f>R183*S183</f>
        <v>7978.3</v>
      </c>
      <c r="AL183" s="203">
        <f>R183*T183</f>
        <v>0</v>
      </c>
      <c r="AM183" s="203">
        <f t="shared" si="224"/>
        <v>725.30000000000018</v>
      </c>
      <c r="AN183" s="203">
        <f t="shared" si="224"/>
        <v>0</v>
      </c>
      <c r="AO183" s="205">
        <f>Z183*S183</f>
        <v>2393.4899999999998</v>
      </c>
      <c r="AP183" s="205">
        <f>Z183*T183</f>
        <v>0</v>
      </c>
      <c r="AQ183" s="205">
        <f>AA183</f>
        <v>0</v>
      </c>
      <c r="AR183" s="205">
        <f>W183*S183</f>
        <v>0</v>
      </c>
      <c r="AS183" s="205">
        <f>W183*T183</f>
        <v>0</v>
      </c>
      <c r="AT183" s="209">
        <f t="shared" si="194"/>
        <v>7978.3</v>
      </c>
      <c r="AU183" s="209">
        <f t="shared" si="194"/>
        <v>0</v>
      </c>
      <c r="AV183" s="203"/>
      <c r="AW183" s="251">
        <f>R183*S183</f>
        <v>7978.3</v>
      </c>
      <c r="AX183" s="251"/>
      <c r="AY183" s="661"/>
      <c r="AZ183" s="661"/>
      <c r="BA183" s="661"/>
    </row>
    <row r="184" spans="2:53" s="76" customFormat="1" ht="58.5">
      <c r="B184" s="703">
        <f t="shared" si="184"/>
        <v>130</v>
      </c>
      <c r="C184" s="197" t="s">
        <v>1029</v>
      </c>
      <c r="D184" s="198" t="s">
        <v>1027</v>
      </c>
      <c r="E184" s="703" t="s">
        <v>1752</v>
      </c>
      <c r="F184" s="703">
        <v>13</v>
      </c>
      <c r="G184" s="199">
        <v>7253</v>
      </c>
      <c r="H184" s="718"/>
      <c r="I184" s="703"/>
      <c r="J184" s="718"/>
      <c r="K184" s="703"/>
      <c r="L184" s="703"/>
      <c r="M184" s="718"/>
      <c r="N184" s="703"/>
      <c r="O184" s="718"/>
      <c r="P184" s="703"/>
      <c r="Q184" s="703"/>
      <c r="R184" s="199">
        <f>G184+I184+K184+L184+N184+P184+Q184</f>
        <v>7253</v>
      </c>
      <c r="S184" s="199">
        <v>1</v>
      </c>
      <c r="T184" s="199"/>
      <c r="U184" s="703"/>
      <c r="V184" s="718"/>
      <c r="W184" s="703"/>
      <c r="X184" s="718">
        <v>29</v>
      </c>
      <c r="Y184" s="737">
        <v>0.3</v>
      </c>
      <c r="Z184" s="199">
        <f>R184*Y184</f>
        <v>2175.9</v>
      </c>
      <c r="AA184" s="199"/>
      <c r="AB184" s="796">
        <f>(R184+Z184)*S184+AA184</f>
        <v>9428.9</v>
      </c>
      <c r="AC184" s="738">
        <f>AF184</f>
        <v>10571.1</v>
      </c>
      <c r="AD184" s="738">
        <f>AB184+AC184</f>
        <v>20000</v>
      </c>
      <c r="AE184" s="202">
        <f>20000*S184</f>
        <v>20000</v>
      </c>
      <c r="AF184" s="202">
        <f>AE184-AB184</f>
        <v>10571.1</v>
      </c>
      <c r="AG184" s="738">
        <f>8000*S184</f>
        <v>8000</v>
      </c>
      <c r="AH184" s="202">
        <f>AG184-AB184</f>
        <v>-1428.8999999999996</v>
      </c>
      <c r="AI184" s="203">
        <f>G184*S184</f>
        <v>7253</v>
      </c>
      <c r="AJ184" s="203">
        <f>G184*T184</f>
        <v>0</v>
      </c>
      <c r="AK184" s="203">
        <f>R184*S184</f>
        <v>7253</v>
      </c>
      <c r="AL184" s="203">
        <f>R184*T184</f>
        <v>0</v>
      </c>
      <c r="AM184" s="203">
        <f t="shared" si="224"/>
        <v>0</v>
      </c>
      <c r="AN184" s="203">
        <f t="shared" si="224"/>
        <v>0</v>
      </c>
      <c r="AO184" s="205">
        <f>Z184*S184</f>
        <v>2175.9</v>
      </c>
      <c r="AP184" s="205">
        <f>Z184*T184</f>
        <v>0</v>
      </c>
      <c r="AQ184" s="205">
        <f>AA184</f>
        <v>0</v>
      </c>
      <c r="AR184" s="205">
        <f>W184*S184</f>
        <v>0</v>
      </c>
      <c r="AS184" s="205">
        <f>W184*T184</f>
        <v>0</v>
      </c>
      <c r="AT184" s="209">
        <f t="shared" si="194"/>
        <v>7253</v>
      </c>
      <c r="AU184" s="209">
        <f t="shared" si="194"/>
        <v>0</v>
      </c>
      <c r="AV184" s="203"/>
      <c r="AW184" s="251">
        <f>R184*S184</f>
        <v>7253</v>
      </c>
      <c r="AX184" s="251"/>
      <c r="AY184" s="661"/>
      <c r="AZ184" s="661"/>
      <c r="BA184" s="661"/>
    </row>
    <row r="185" spans="2:53" s="76" customFormat="1" ht="31.5">
      <c r="B185" s="703"/>
      <c r="C185" s="180" t="s">
        <v>1736</v>
      </c>
      <c r="D185" s="207"/>
      <c r="E185" s="193"/>
      <c r="F185" s="193"/>
      <c r="G185" s="183">
        <f>SUM(G183:G184)</f>
        <v>14506</v>
      </c>
      <c r="H185" s="752"/>
      <c r="I185" s="183"/>
      <c r="J185" s="731"/>
      <c r="K185" s="193"/>
      <c r="L185" s="193"/>
      <c r="M185" s="731"/>
      <c r="N185" s="193"/>
      <c r="O185" s="731"/>
      <c r="P185" s="193"/>
      <c r="Q185" s="193"/>
      <c r="R185" s="183">
        <f>SUM(R183:R184)</f>
        <v>15231.3</v>
      </c>
      <c r="S185" s="183">
        <f>SUM(S183:S184)</f>
        <v>2</v>
      </c>
      <c r="T185" s="183">
        <f>SUM(T183:T184)</f>
        <v>0</v>
      </c>
      <c r="U185" s="183"/>
      <c r="V185" s="742"/>
      <c r="W185" s="183"/>
      <c r="X185" s="742"/>
      <c r="Y185" s="742"/>
      <c r="Z185" s="183">
        <f t="shared" ref="Z185:AV185" si="225">SUM(Z183:Z184)</f>
        <v>4569.3899999999994</v>
      </c>
      <c r="AA185" s="183">
        <f t="shared" si="225"/>
        <v>0</v>
      </c>
      <c r="AB185" s="797">
        <f t="shared" si="225"/>
        <v>19800.690000000002</v>
      </c>
      <c r="AC185" s="183">
        <f t="shared" si="225"/>
        <v>20199.309999999998</v>
      </c>
      <c r="AD185" s="183">
        <f>SUM(AD183:AD184)</f>
        <v>40000</v>
      </c>
      <c r="AE185" s="183">
        <f t="shared" si="225"/>
        <v>40000</v>
      </c>
      <c r="AF185" s="183">
        <f t="shared" si="225"/>
        <v>20199.309999999998</v>
      </c>
      <c r="AG185" s="183">
        <f>SUM(AG183:AG184)</f>
        <v>16000</v>
      </c>
      <c r="AH185" s="183">
        <f t="shared" si="225"/>
        <v>-3800.6900000000005</v>
      </c>
      <c r="AI185" s="183">
        <f t="shared" si="225"/>
        <v>14506</v>
      </c>
      <c r="AJ185" s="183">
        <f t="shared" si="225"/>
        <v>0</v>
      </c>
      <c r="AK185" s="183">
        <f t="shared" si="225"/>
        <v>15231.3</v>
      </c>
      <c r="AL185" s="183">
        <f t="shared" si="225"/>
        <v>0</v>
      </c>
      <c r="AM185" s="183">
        <f t="shared" si="225"/>
        <v>725.30000000000018</v>
      </c>
      <c r="AN185" s="183">
        <f t="shared" si="225"/>
        <v>0</v>
      </c>
      <c r="AO185" s="183">
        <f t="shared" si="225"/>
        <v>4569.3899999999994</v>
      </c>
      <c r="AP185" s="183">
        <f t="shared" si="225"/>
        <v>0</v>
      </c>
      <c r="AQ185" s="183">
        <f t="shared" si="225"/>
        <v>0</v>
      </c>
      <c r="AR185" s="183">
        <f t="shared" si="225"/>
        <v>0</v>
      </c>
      <c r="AS185" s="183">
        <f t="shared" si="225"/>
        <v>0</v>
      </c>
      <c r="AT185" s="183">
        <f t="shared" si="225"/>
        <v>15231.3</v>
      </c>
      <c r="AU185" s="183">
        <f t="shared" si="225"/>
        <v>0</v>
      </c>
      <c r="AV185" s="183">
        <f t="shared" si="225"/>
        <v>0</v>
      </c>
      <c r="AW185" s="183">
        <f>SUM(AW183:AW184)</f>
        <v>15231.3</v>
      </c>
      <c r="AX185" s="183">
        <f>SUM(AX183:AX184)</f>
        <v>0</v>
      </c>
      <c r="AY185" s="661"/>
      <c r="AZ185" s="661"/>
      <c r="BA185" s="661"/>
    </row>
    <row r="186" spans="2:53" s="76" customFormat="1" ht="33">
      <c r="B186" s="703"/>
      <c r="C186" s="220" t="s">
        <v>1581</v>
      </c>
      <c r="D186" s="217"/>
      <c r="E186" s="218"/>
      <c r="F186" s="218"/>
      <c r="G186" s="218"/>
      <c r="H186" s="745"/>
      <c r="I186" s="218"/>
      <c r="J186" s="745"/>
      <c r="K186" s="218"/>
      <c r="L186" s="218"/>
      <c r="M186" s="745"/>
      <c r="N186" s="218"/>
      <c r="O186" s="745"/>
      <c r="P186" s="218"/>
      <c r="Q186" s="218"/>
      <c r="R186" s="218"/>
      <c r="S186" s="218"/>
      <c r="T186" s="218"/>
      <c r="U186" s="218"/>
      <c r="V186" s="746"/>
      <c r="W186" s="218"/>
      <c r="X186" s="746"/>
      <c r="Y186" s="746"/>
      <c r="Z186" s="218"/>
      <c r="AA186" s="218"/>
      <c r="AB186" s="799"/>
      <c r="AC186" s="219"/>
      <c r="AD186" s="219"/>
      <c r="AE186" s="219"/>
      <c r="AF186" s="219"/>
      <c r="AG186" s="219"/>
      <c r="AH186" s="219"/>
      <c r="AI186" s="203"/>
      <c r="AJ186" s="203"/>
      <c r="AK186" s="203"/>
      <c r="AL186" s="203"/>
      <c r="AM186" s="203"/>
      <c r="AN186" s="203"/>
      <c r="AO186" s="205"/>
      <c r="AP186" s="205"/>
      <c r="AQ186" s="205"/>
      <c r="AR186" s="205"/>
      <c r="AS186" s="205"/>
      <c r="AT186" s="209"/>
      <c r="AU186" s="209"/>
      <c r="AV186" s="203"/>
      <c r="AW186" s="251"/>
      <c r="AX186" s="251"/>
      <c r="AY186" s="661"/>
      <c r="AZ186" s="661"/>
      <c r="BA186" s="661"/>
    </row>
    <row r="187" spans="2:53" s="76" customFormat="1" ht="63">
      <c r="B187" s="703">
        <f>B184+1</f>
        <v>131</v>
      </c>
      <c r="C187" s="197" t="s">
        <v>1080</v>
      </c>
      <c r="D187" s="198" t="s">
        <v>1365</v>
      </c>
      <c r="E187" s="703" t="s">
        <v>1114</v>
      </c>
      <c r="F187" s="703">
        <v>8</v>
      </c>
      <c r="G187" s="199">
        <v>5240</v>
      </c>
      <c r="H187" s="737">
        <v>0.1</v>
      </c>
      <c r="I187" s="703">
        <f>G187*H187</f>
        <v>524</v>
      </c>
      <c r="J187" s="741"/>
      <c r="K187" s="206"/>
      <c r="L187" s="206"/>
      <c r="M187" s="741"/>
      <c r="N187" s="206"/>
      <c r="O187" s="741"/>
      <c r="P187" s="206"/>
      <c r="Q187" s="206"/>
      <c r="R187" s="199">
        <f>G187+I187+K187+L187+N187+P187+Q187</f>
        <v>5764</v>
      </c>
      <c r="S187" s="199">
        <v>1</v>
      </c>
      <c r="T187" s="206"/>
      <c r="U187" s="206"/>
      <c r="V187" s="741"/>
      <c r="W187" s="206"/>
      <c r="X187" s="718">
        <v>20</v>
      </c>
      <c r="Y187" s="737">
        <v>0.3</v>
      </c>
      <c r="Z187" s="199">
        <f t="shared" ref="Z187:Z193" si="226">R187*Y187</f>
        <v>1729.2</v>
      </c>
      <c r="AA187" s="199">
        <f t="shared" ref="AA187:AA193" si="227">AH187</f>
        <v>506.79999999999995</v>
      </c>
      <c r="AB187" s="796">
        <f>(R187+Z187)*S187+AA187</f>
        <v>8000</v>
      </c>
      <c r="AC187" s="738">
        <f t="shared" ref="AC187:AC193" si="228">AF187</f>
        <v>5500</v>
      </c>
      <c r="AD187" s="738">
        <f t="shared" ref="AD187:AD193" si="229">AB187+AC187</f>
        <v>13500</v>
      </c>
      <c r="AE187" s="202">
        <f t="shared" ref="AE187:AE193" si="230">13500*S187</f>
        <v>13500</v>
      </c>
      <c r="AF187" s="202">
        <f t="shared" ref="AF187:AF193" si="231">AE187-AB187</f>
        <v>5500</v>
      </c>
      <c r="AG187" s="738">
        <f t="shared" ref="AG187:AG193" si="232">8000*S187</f>
        <v>8000</v>
      </c>
      <c r="AH187" s="202">
        <f t="shared" ref="AH187:AH193" si="233">AG187-(R187*S187)-Z187</f>
        <v>506.79999999999995</v>
      </c>
      <c r="AI187" s="203">
        <f t="shared" ref="AI187:AI193" si="234">G187*S187</f>
        <v>5240</v>
      </c>
      <c r="AJ187" s="203">
        <f t="shared" ref="AJ187:AJ193" si="235">G187*T187</f>
        <v>0</v>
      </c>
      <c r="AK187" s="203">
        <f t="shared" ref="AK187:AK193" si="236">R187*S187</f>
        <v>5764</v>
      </c>
      <c r="AL187" s="203">
        <f t="shared" ref="AL187:AL193" si="237">R187*T187</f>
        <v>0</v>
      </c>
      <c r="AM187" s="203">
        <f t="shared" ref="AM187:AN193" si="238">AK187-AI187</f>
        <v>524</v>
      </c>
      <c r="AN187" s="203">
        <f t="shared" si="238"/>
        <v>0</v>
      </c>
      <c r="AO187" s="205">
        <f t="shared" ref="AO187:AO193" si="239">Z187*S187</f>
        <v>1729.2</v>
      </c>
      <c r="AP187" s="205">
        <f t="shared" ref="AP187:AP193" si="240">Z187*T187</f>
        <v>0</v>
      </c>
      <c r="AQ187" s="205">
        <f t="shared" ref="AQ187:AQ193" si="241">AA187</f>
        <v>506.79999999999995</v>
      </c>
      <c r="AR187" s="205">
        <f t="shared" ref="AR187:AR193" si="242">W187*S187</f>
        <v>0</v>
      </c>
      <c r="AS187" s="205">
        <f t="shared" ref="AS187:AS193" si="243">W187*T187</f>
        <v>0</v>
      </c>
      <c r="AT187" s="209">
        <f t="shared" si="194"/>
        <v>5764</v>
      </c>
      <c r="AU187" s="209">
        <f t="shared" si="194"/>
        <v>0</v>
      </c>
      <c r="AV187" s="203"/>
      <c r="AW187" s="251">
        <f t="shared" ref="AW187:AW193" si="244">R187*S187</f>
        <v>5764</v>
      </c>
      <c r="AX187" s="251"/>
      <c r="AY187" s="661"/>
      <c r="AZ187" s="661"/>
      <c r="BA187" s="661"/>
    </row>
    <row r="188" spans="2:53" s="76" customFormat="1" ht="63">
      <c r="B188" s="703">
        <f t="shared" si="184"/>
        <v>132</v>
      </c>
      <c r="C188" s="197" t="s">
        <v>1098</v>
      </c>
      <c r="D188" s="198" t="s">
        <v>178</v>
      </c>
      <c r="E188" s="703" t="s">
        <v>179</v>
      </c>
      <c r="F188" s="703">
        <v>8</v>
      </c>
      <c r="G188" s="199">
        <v>5240</v>
      </c>
      <c r="H188" s="736"/>
      <c r="I188" s="199"/>
      <c r="J188" s="736"/>
      <c r="K188" s="199"/>
      <c r="L188" s="199"/>
      <c r="M188" s="736"/>
      <c r="N188" s="199"/>
      <c r="O188" s="736"/>
      <c r="P188" s="199"/>
      <c r="Q188" s="206"/>
      <c r="R188" s="199">
        <f t="shared" ref="R188:R193" si="245">G188+I188+K188+L188+N188+P188+Q188</f>
        <v>5240</v>
      </c>
      <c r="S188" s="199">
        <v>1</v>
      </c>
      <c r="T188" s="199"/>
      <c r="U188" s="206"/>
      <c r="V188" s="741"/>
      <c r="W188" s="206"/>
      <c r="X188" s="718">
        <v>19</v>
      </c>
      <c r="Y188" s="737">
        <v>0.2</v>
      </c>
      <c r="Z188" s="199">
        <f t="shared" si="226"/>
        <v>1048</v>
      </c>
      <c r="AA188" s="199">
        <f t="shared" si="227"/>
        <v>1712</v>
      </c>
      <c r="AB188" s="796">
        <f t="shared" ref="AB188:AB193" si="246">(R188+Z188)*S188+AA188</f>
        <v>8000</v>
      </c>
      <c r="AC188" s="738">
        <f t="shared" si="228"/>
        <v>5500</v>
      </c>
      <c r="AD188" s="738">
        <f t="shared" si="229"/>
        <v>13500</v>
      </c>
      <c r="AE188" s="202">
        <f t="shared" si="230"/>
        <v>13500</v>
      </c>
      <c r="AF188" s="202">
        <f t="shared" si="231"/>
        <v>5500</v>
      </c>
      <c r="AG188" s="738">
        <f t="shared" si="232"/>
        <v>8000</v>
      </c>
      <c r="AH188" s="202">
        <f t="shared" si="233"/>
        <v>1712</v>
      </c>
      <c r="AI188" s="203">
        <f t="shared" si="234"/>
        <v>5240</v>
      </c>
      <c r="AJ188" s="203">
        <f t="shared" si="235"/>
        <v>0</v>
      </c>
      <c r="AK188" s="203">
        <f t="shared" si="236"/>
        <v>5240</v>
      </c>
      <c r="AL188" s="203">
        <f t="shared" si="237"/>
        <v>0</v>
      </c>
      <c r="AM188" s="203">
        <f t="shared" si="238"/>
        <v>0</v>
      </c>
      <c r="AN188" s="203">
        <f t="shared" si="238"/>
        <v>0</v>
      </c>
      <c r="AO188" s="205">
        <f t="shared" si="239"/>
        <v>1048</v>
      </c>
      <c r="AP188" s="205">
        <f t="shared" si="240"/>
        <v>0</v>
      </c>
      <c r="AQ188" s="205">
        <f t="shared" si="241"/>
        <v>1712</v>
      </c>
      <c r="AR188" s="205">
        <f t="shared" si="242"/>
        <v>0</v>
      </c>
      <c r="AS188" s="205">
        <f t="shared" si="243"/>
        <v>0</v>
      </c>
      <c r="AT188" s="209">
        <f t="shared" si="194"/>
        <v>5240</v>
      </c>
      <c r="AU188" s="209">
        <f t="shared" si="194"/>
        <v>0</v>
      </c>
      <c r="AV188" s="203"/>
      <c r="AW188" s="251">
        <f t="shared" si="244"/>
        <v>5240</v>
      </c>
      <c r="AX188" s="251"/>
      <c r="AY188" s="661"/>
      <c r="AZ188" s="661"/>
      <c r="BA188" s="661"/>
    </row>
    <row r="189" spans="2:53" s="76" customFormat="1" ht="63">
      <c r="B189" s="703">
        <f t="shared" si="184"/>
        <v>133</v>
      </c>
      <c r="C189" s="197" t="s">
        <v>1064</v>
      </c>
      <c r="D189" s="198" t="s">
        <v>180</v>
      </c>
      <c r="E189" s="703" t="s">
        <v>1118</v>
      </c>
      <c r="F189" s="703">
        <v>8</v>
      </c>
      <c r="G189" s="199">
        <v>5240</v>
      </c>
      <c r="H189" s="736"/>
      <c r="I189" s="199"/>
      <c r="J189" s="736"/>
      <c r="K189" s="199"/>
      <c r="L189" s="199"/>
      <c r="M189" s="736"/>
      <c r="N189" s="199"/>
      <c r="O189" s="736"/>
      <c r="P189" s="199"/>
      <c r="Q189" s="199"/>
      <c r="R189" s="199">
        <f t="shared" si="245"/>
        <v>5240</v>
      </c>
      <c r="S189" s="199">
        <v>1</v>
      </c>
      <c r="T189" s="199"/>
      <c r="U189" s="199"/>
      <c r="V189" s="736"/>
      <c r="W189" s="199"/>
      <c r="X189" s="718">
        <v>14</v>
      </c>
      <c r="Y189" s="737">
        <v>0.2</v>
      </c>
      <c r="Z189" s="199">
        <f t="shared" si="226"/>
        <v>1048</v>
      </c>
      <c r="AA189" s="199">
        <f t="shared" si="227"/>
        <v>1712</v>
      </c>
      <c r="AB189" s="796">
        <f t="shared" si="246"/>
        <v>8000</v>
      </c>
      <c r="AC189" s="738">
        <f t="shared" si="228"/>
        <v>5500</v>
      </c>
      <c r="AD189" s="738">
        <f t="shared" si="229"/>
        <v>13500</v>
      </c>
      <c r="AE189" s="202">
        <f t="shared" si="230"/>
        <v>13500</v>
      </c>
      <c r="AF189" s="202">
        <f t="shared" si="231"/>
        <v>5500</v>
      </c>
      <c r="AG189" s="738">
        <f t="shared" si="232"/>
        <v>8000</v>
      </c>
      <c r="AH189" s="202">
        <f t="shared" si="233"/>
        <v>1712</v>
      </c>
      <c r="AI189" s="203">
        <f t="shared" si="234"/>
        <v>5240</v>
      </c>
      <c r="AJ189" s="203">
        <f t="shared" si="235"/>
        <v>0</v>
      </c>
      <c r="AK189" s="203">
        <f t="shared" si="236"/>
        <v>5240</v>
      </c>
      <c r="AL189" s="203">
        <f t="shared" si="237"/>
        <v>0</v>
      </c>
      <c r="AM189" s="203">
        <f t="shared" si="238"/>
        <v>0</v>
      </c>
      <c r="AN189" s="203">
        <f t="shared" si="238"/>
        <v>0</v>
      </c>
      <c r="AO189" s="205">
        <f t="shared" si="239"/>
        <v>1048</v>
      </c>
      <c r="AP189" s="205">
        <f t="shared" si="240"/>
        <v>0</v>
      </c>
      <c r="AQ189" s="205">
        <f t="shared" si="241"/>
        <v>1712</v>
      </c>
      <c r="AR189" s="205">
        <f t="shared" si="242"/>
        <v>0</v>
      </c>
      <c r="AS189" s="205">
        <f t="shared" si="243"/>
        <v>0</v>
      </c>
      <c r="AT189" s="209">
        <f t="shared" si="194"/>
        <v>5240</v>
      </c>
      <c r="AU189" s="209">
        <f t="shared" si="194"/>
        <v>0</v>
      </c>
      <c r="AV189" s="203"/>
      <c r="AW189" s="251">
        <f t="shared" si="244"/>
        <v>5240</v>
      </c>
      <c r="AX189" s="251"/>
      <c r="AY189" s="661"/>
      <c r="AZ189" s="661"/>
      <c r="BA189" s="661"/>
    </row>
    <row r="190" spans="2:53" s="76" customFormat="1" ht="63">
      <c r="B190" s="703">
        <f t="shared" si="184"/>
        <v>134</v>
      </c>
      <c r="C190" s="197" t="s">
        <v>1064</v>
      </c>
      <c r="D190" s="198" t="s">
        <v>1119</v>
      </c>
      <c r="E190" s="703" t="s">
        <v>1120</v>
      </c>
      <c r="F190" s="703">
        <v>9</v>
      </c>
      <c r="G190" s="199">
        <v>5527</v>
      </c>
      <c r="H190" s="736"/>
      <c r="I190" s="199"/>
      <c r="J190" s="736"/>
      <c r="K190" s="199"/>
      <c r="L190" s="199"/>
      <c r="M190" s="736"/>
      <c r="N190" s="199"/>
      <c r="O190" s="736"/>
      <c r="P190" s="199"/>
      <c r="Q190" s="199"/>
      <c r="R190" s="199">
        <f t="shared" si="245"/>
        <v>5527</v>
      </c>
      <c r="S190" s="199">
        <v>1</v>
      </c>
      <c r="T190" s="199"/>
      <c r="U190" s="199"/>
      <c r="V190" s="736"/>
      <c r="W190" s="199"/>
      <c r="X190" s="718">
        <v>17</v>
      </c>
      <c r="Y190" s="737">
        <v>0.2</v>
      </c>
      <c r="Z190" s="199">
        <f t="shared" si="226"/>
        <v>1105.4000000000001</v>
      </c>
      <c r="AA190" s="199">
        <f t="shared" si="227"/>
        <v>1367.6</v>
      </c>
      <c r="AB190" s="796">
        <f t="shared" si="246"/>
        <v>8000</v>
      </c>
      <c r="AC190" s="738">
        <f t="shared" si="228"/>
        <v>5500</v>
      </c>
      <c r="AD190" s="738">
        <f t="shared" si="229"/>
        <v>13500</v>
      </c>
      <c r="AE190" s="202">
        <f t="shared" si="230"/>
        <v>13500</v>
      </c>
      <c r="AF190" s="202">
        <f t="shared" si="231"/>
        <v>5500</v>
      </c>
      <c r="AG190" s="738">
        <f t="shared" si="232"/>
        <v>8000</v>
      </c>
      <c r="AH190" s="202">
        <f t="shared" si="233"/>
        <v>1367.6</v>
      </c>
      <c r="AI190" s="203">
        <f t="shared" si="234"/>
        <v>5527</v>
      </c>
      <c r="AJ190" s="203">
        <f t="shared" si="235"/>
        <v>0</v>
      </c>
      <c r="AK190" s="203">
        <f t="shared" si="236"/>
        <v>5527</v>
      </c>
      <c r="AL190" s="203">
        <f t="shared" si="237"/>
        <v>0</v>
      </c>
      <c r="AM190" s="203">
        <f t="shared" si="238"/>
        <v>0</v>
      </c>
      <c r="AN190" s="203">
        <f t="shared" si="238"/>
        <v>0</v>
      </c>
      <c r="AO190" s="205">
        <f t="shared" si="239"/>
        <v>1105.4000000000001</v>
      </c>
      <c r="AP190" s="205">
        <f t="shared" si="240"/>
        <v>0</v>
      </c>
      <c r="AQ190" s="205">
        <f t="shared" si="241"/>
        <v>1367.6</v>
      </c>
      <c r="AR190" s="205">
        <f t="shared" si="242"/>
        <v>0</v>
      </c>
      <c r="AS190" s="205">
        <f t="shared" si="243"/>
        <v>0</v>
      </c>
      <c r="AT190" s="209">
        <f t="shared" si="194"/>
        <v>5527</v>
      </c>
      <c r="AU190" s="209">
        <f t="shared" si="194"/>
        <v>0</v>
      </c>
      <c r="AV190" s="203"/>
      <c r="AW190" s="251">
        <f t="shared" si="244"/>
        <v>5527</v>
      </c>
      <c r="AX190" s="251"/>
      <c r="AY190" s="661"/>
      <c r="AZ190" s="661"/>
      <c r="BA190" s="661"/>
    </row>
    <row r="191" spans="2:53" s="76" customFormat="1" ht="63">
      <c r="B191" s="703">
        <f t="shared" si="184"/>
        <v>135</v>
      </c>
      <c r="C191" s="197" t="s">
        <v>1064</v>
      </c>
      <c r="D191" s="198" t="s">
        <v>1802</v>
      </c>
      <c r="E191" s="703" t="s">
        <v>1803</v>
      </c>
      <c r="F191" s="703">
        <v>9</v>
      </c>
      <c r="G191" s="199">
        <v>5527</v>
      </c>
      <c r="H191" s="736"/>
      <c r="I191" s="199"/>
      <c r="J191" s="736"/>
      <c r="K191" s="199"/>
      <c r="L191" s="199"/>
      <c r="M191" s="736"/>
      <c r="N191" s="199"/>
      <c r="O191" s="736"/>
      <c r="P191" s="199"/>
      <c r="Q191" s="199"/>
      <c r="R191" s="199">
        <f t="shared" si="245"/>
        <v>5527</v>
      </c>
      <c r="S191" s="199">
        <v>1</v>
      </c>
      <c r="T191" s="199"/>
      <c r="U191" s="199"/>
      <c r="V191" s="736"/>
      <c r="W191" s="199"/>
      <c r="X191" s="718">
        <v>20</v>
      </c>
      <c r="Y191" s="737">
        <v>0.3</v>
      </c>
      <c r="Z191" s="199">
        <f t="shared" si="226"/>
        <v>1658.1</v>
      </c>
      <c r="AA191" s="199">
        <f t="shared" si="227"/>
        <v>814.90000000000009</v>
      </c>
      <c r="AB191" s="796">
        <f t="shared" si="246"/>
        <v>8000</v>
      </c>
      <c r="AC191" s="738">
        <f t="shared" si="228"/>
        <v>5500</v>
      </c>
      <c r="AD191" s="738">
        <f t="shared" si="229"/>
        <v>13500</v>
      </c>
      <c r="AE191" s="202">
        <f t="shared" si="230"/>
        <v>13500</v>
      </c>
      <c r="AF191" s="202">
        <f t="shared" si="231"/>
        <v>5500</v>
      </c>
      <c r="AG191" s="738">
        <f t="shared" si="232"/>
        <v>8000</v>
      </c>
      <c r="AH191" s="202">
        <f t="shared" si="233"/>
        <v>814.90000000000009</v>
      </c>
      <c r="AI191" s="203">
        <f t="shared" si="234"/>
        <v>5527</v>
      </c>
      <c r="AJ191" s="203">
        <f t="shared" si="235"/>
        <v>0</v>
      </c>
      <c r="AK191" s="203">
        <f t="shared" si="236"/>
        <v>5527</v>
      </c>
      <c r="AL191" s="203">
        <f t="shared" si="237"/>
        <v>0</v>
      </c>
      <c r="AM191" s="203">
        <f t="shared" si="238"/>
        <v>0</v>
      </c>
      <c r="AN191" s="203">
        <f t="shared" si="238"/>
        <v>0</v>
      </c>
      <c r="AO191" s="205">
        <f t="shared" si="239"/>
        <v>1658.1</v>
      </c>
      <c r="AP191" s="205">
        <f t="shared" si="240"/>
        <v>0</v>
      </c>
      <c r="AQ191" s="205">
        <f t="shared" si="241"/>
        <v>814.90000000000009</v>
      </c>
      <c r="AR191" s="205">
        <f t="shared" si="242"/>
        <v>0</v>
      </c>
      <c r="AS191" s="205">
        <f t="shared" si="243"/>
        <v>0</v>
      </c>
      <c r="AT191" s="209">
        <f t="shared" si="194"/>
        <v>5527</v>
      </c>
      <c r="AU191" s="209">
        <f t="shared" si="194"/>
        <v>0</v>
      </c>
      <c r="AV191" s="203"/>
      <c r="AW191" s="251">
        <f t="shared" si="244"/>
        <v>5527</v>
      </c>
      <c r="AX191" s="251"/>
      <c r="AY191" s="661"/>
      <c r="AZ191" s="661"/>
      <c r="BA191" s="661"/>
    </row>
    <row r="192" spans="2:53" s="76" customFormat="1" ht="63">
      <c r="B192" s="703">
        <f t="shared" si="184"/>
        <v>136</v>
      </c>
      <c r="C192" s="197" t="s">
        <v>1064</v>
      </c>
      <c r="D192" s="198" t="s">
        <v>181</v>
      </c>
      <c r="E192" s="703" t="s">
        <v>1122</v>
      </c>
      <c r="F192" s="703">
        <v>9</v>
      </c>
      <c r="G192" s="199">
        <v>5527</v>
      </c>
      <c r="H192" s="736"/>
      <c r="I192" s="199"/>
      <c r="J192" s="737"/>
      <c r="K192" s="201"/>
      <c r="L192" s="201"/>
      <c r="M192" s="736"/>
      <c r="N192" s="199"/>
      <c r="O192" s="736"/>
      <c r="P192" s="206"/>
      <c r="Q192" s="206"/>
      <c r="R192" s="199">
        <f t="shared" si="245"/>
        <v>5527</v>
      </c>
      <c r="S192" s="199">
        <v>1</v>
      </c>
      <c r="T192" s="199"/>
      <c r="U192" s="206"/>
      <c r="V192" s="741"/>
      <c r="W192" s="206"/>
      <c r="X192" s="718">
        <v>30</v>
      </c>
      <c r="Y192" s="737">
        <v>0.3</v>
      </c>
      <c r="Z192" s="199">
        <f t="shared" si="226"/>
        <v>1658.1</v>
      </c>
      <c r="AA192" s="199">
        <f t="shared" si="227"/>
        <v>814.90000000000009</v>
      </c>
      <c r="AB192" s="796">
        <f t="shared" si="246"/>
        <v>8000</v>
      </c>
      <c r="AC192" s="738">
        <f t="shared" si="228"/>
        <v>5500</v>
      </c>
      <c r="AD192" s="738">
        <f t="shared" si="229"/>
        <v>13500</v>
      </c>
      <c r="AE192" s="202">
        <f t="shared" si="230"/>
        <v>13500</v>
      </c>
      <c r="AF192" s="202">
        <f t="shared" si="231"/>
        <v>5500</v>
      </c>
      <c r="AG192" s="738">
        <f t="shared" si="232"/>
        <v>8000</v>
      </c>
      <c r="AH192" s="202">
        <f t="shared" si="233"/>
        <v>814.90000000000009</v>
      </c>
      <c r="AI192" s="203">
        <f t="shared" si="234"/>
        <v>5527</v>
      </c>
      <c r="AJ192" s="203">
        <f t="shared" si="235"/>
        <v>0</v>
      </c>
      <c r="AK192" s="203">
        <f t="shared" si="236"/>
        <v>5527</v>
      </c>
      <c r="AL192" s="203">
        <f t="shared" si="237"/>
        <v>0</v>
      </c>
      <c r="AM192" s="203">
        <f t="shared" si="238"/>
        <v>0</v>
      </c>
      <c r="AN192" s="203">
        <f t="shared" si="238"/>
        <v>0</v>
      </c>
      <c r="AO192" s="205">
        <f t="shared" si="239"/>
        <v>1658.1</v>
      </c>
      <c r="AP192" s="205">
        <f t="shared" si="240"/>
        <v>0</v>
      </c>
      <c r="AQ192" s="205">
        <f t="shared" si="241"/>
        <v>814.90000000000009</v>
      </c>
      <c r="AR192" s="205">
        <f t="shared" si="242"/>
        <v>0</v>
      </c>
      <c r="AS192" s="205">
        <f t="shared" si="243"/>
        <v>0</v>
      </c>
      <c r="AT192" s="209">
        <f t="shared" si="194"/>
        <v>5527</v>
      </c>
      <c r="AU192" s="209">
        <f t="shared" si="194"/>
        <v>0</v>
      </c>
      <c r="AV192" s="203"/>
      <c r="AW192" s="251">
        <f t="shared" si="244"/>
        <v>5527</v>
      </c>
      <c r="AX192" s="251"/>
      <c r="AY192" s="661"/>
      <c r="AZ192" s="661"/>
      <c r="BA192" s="661"/>
    </row>
    <row r="193" spans="2:53" s="76" customFormat="1" ht="63">
      <c r="B193" s="703">
        <f t="shared" si="184"/>
        <v>137</v>
      </c>
      <c r="C193" s="197" t="s">
        <v>1064</v>
      </c>
      <c r="D193" s="198" t="s">
        <v>1366</v>
      </c>
      <c r="E193" s="703" t="s">
        <v>1123</v>
      </c>
      <c r="F193" s="703">
        <v>9</v>
      </c>
      <c r="G193" s="199">
        <v>5527</v>
      </c>
      <c r="H193" s="736"/>
      <c r="I193" s="199"/>
      <c r="J193" s="736"/>
      <c r="K193" s="199"/>
      <c r="L193" s="199"/>
      <c r="M193" s="736"/>
      <c r="N193" s="199"/>
      <c r="O193" s="736"/>
      <c r="P193" s="199"/>
      <c r="Q193" s="199"/>
      <c r="R193" s="199">
        <f t="shared" si="245"/>
        <v>5527</v>
      </c>
      <c r="S193" s="199">
        <v>1</v>
      </c>
      <c r="T193" s="199"/>
      <c r="U193" s="199"/>
      <c r="V193" s="736"/>
      <c r="W193" s="199"/>
      <c r="X193" s="718">
        <v>31</v>
      </c>
      <c r="Y193" s="737">
        <v>0.3</v>
      </c>
      <c r="Z193" s="199">
        <f t="shared" si="226"/>
        <v>1658.1</v>
      </c>
      <c r="AA193" s="199">
        <f t="shared" si="227"/>
        <v>814.90000000000009</v>
      </c>
      <c r="AB193" s="796">
        <f t="shared" si="246"/>
        <v>8000</v>
      </c>
      <c r="AC193" s="738">
        <f t="shared" si="228"/>
        <v>5500</v>
      </c>
      <c r="AD193" s="738">
        <f t="shared" si="229"/>
        <v>13500</v>
      </c>
      <c r="AE193" s="202">
        <f t="shared" si="230"/>
        <v>13500</v>
      </c>
      <c r="AF193" s="202">
        <f t="shared" si="231"/>
        <v>5500</v>
      </c>
      <c r="AG193" s="738">
        <f t="shared" si="232"/>
        <v>8000</v>
      </c>
      <c r="AH193" s="202">
        <f t="shared" si="233"/>
        <v>814.90000000000009</v>
      </c>
      <c r="AI193" s="203">
        <f t="shared" si="234"/>
        <v>5527</v>
      </c>
      <c r="AJ193" s="203">
        <f t="shared" si="235"/>
        <v>0</v>
      </c>
      <c r="AK193" s="203">
        <f t="shared" si="236"/>
        <v>5527</v>
      </c>
      <c r="AL193" s="203">
        <f t="shared" si="237"/>
        <v>0</v>
      </c>
      <c r="AM193" s="203">
        <f t="shared" si="238"/>
        <v>0</v>
      </c>
      <c r="AN193" s="203">
        <f t="shared" si="238"/>
        <v>0</v>
      </c>
      <c r="AO193" s="205">
        <f t="shared" si="239"/>
        <v>1658.1</v>
      </c>
      <c r="AP193" s="205">
        <f t="shared" si="240"/>
        <v>0</v>
      </c>
      <c r="AQ193" s="205">
        <f t="shared" si="241"/>
        <v>814.90000000000009</v>
      </c>
      <c r="AR193" s="205">
        <f t="shared" si="242"/>
        <v>0</v>
      </c>
      <c r="AS193" s="205">
        <f t="shared" si="243"/>
        <v>0</v>
      </c>
      <c r="AT193" s="209">
        <f t="shared" si="194"/>
        <v>5527</v>
      </c>
      <c r="AU193" s="209">
        <f t="shared" si="194"/>
        <v>0</v>
      </c>
      <c r="AV193" s="203"/>
      <c r="AW193" s="251">
        <f t="shared" si="244"/>
        <v>5527</v>
      </c>
      <c r="AX193" s="251"/>
      <c r="AY193" s="661"/>
      <c r="AZ193" s="661"/>
      <c r="BA193" s="661"/>
    </row>
    <row r="194" spans="2:53" s="76" customFormat="1" ht="31.5">
      <c r="B194" s="703"/>
      <c r="C194" s="180" t="s">
        <v>1736</v>
      </c>
      <c r="D194" s="207"/>
      <c r="E194" s="193"/>
      <c r="F194" s="193"/>
      <c r="G194" s="183">
        <f>SUM(G187:G193)</f>
        <v>37828</v>
      </c>
      <c r="H194" s="752"/>
      <c r="I194" s="183">
        <f>SUM(I187:I193)</f>
        <v>524</v>
      </c>
      <c r="J194" s="731"/>
      <c r="K194" s="193"/>
      <c r="L194" s="193"/>
      <c r="M194" s="731"/>
      <c r="N194" s="193"/>
      <c r="O194" s="731"/>
      <c r="P194" s="193"/>
      <c r="Q194" s="193"/>
      <c r="R194" s="183">
        <f>SUM(R187:R193)</f>
        <v>38352</v>
      </c>
      <c r="S194" s="183">
        <f>SUM(S187:S193)</f>
        <v>7</v>
      </c>
      <c r="T194" s="183">
        <f>SUM(T187:T193)</f>
        <v>0</v>
      </c>
      <c r="U194" s="183"/>
      <c r="V194" s="742"/>
      <c r="W194" s="183"/>
      <c r="X194" s="742"/>
      <c r="Y194" s="742"/>
      <c r="Z194" s="183">
        <f t="shared" ref="Z194:AV194" si="247">SUM(Z187:Z193)</f>
        <v>9904.9000000000015</v>
      </c>
      <c r="AA194" s="183">
        <f t="shared" si="247"/>
        <v>7743.0999999999985</v>
      </c>
      <c r="AB194" s="797">
        <f t="shared" si="247"/>
        <v>56000</v>
      </c>
      <c r="AC194" s="183">
        <f t="shared" si="247"/>
        <v>38500</v>
      </c>
      <c r="AD194" s="183">
        <f>SUM(AD187:AD193)</f>
        <v>94500</v>
      </c>
      <c r="AE194" s="183">
        <f t="shared" si="247"/>
        <v>94500</v>
      </c>
      <c r="AF194" s="183">
        <f t="shared" si="247"/>
        <v>38500</v>
      </c>
      <c r="AG194" s="183">
        <f>SUM(AG187:AG193)</f>
        <v>56000</v>
      </c>
      <c r="AH194" s="183">
        <f t="shared" si="247"/>
        <v>7743.0999999999985</v>
      </c>
      <c r="AI194" s="183">
        <f t="shared" si="247"/>
        <v>37828</v>
      </c>
      <c r="AJ194" s="183">
        <f t="shared" si="247"/>
        <v>0</v>
      </c>
      <c r="AK194" s="183">
        <f t="shared" si="247"/>
        <v>38352</v>
      </c>
      <c r="AL194" s="183">
        <f t="shared" si="247"/>
        <v>0</v>
      </c>
      <c r="AM194" s="183">
        <f t="shared" si="247"/>
        <v>524</v>
      </c>
      <c r="AN194" s="183">
        <f t="shared" si="247"/>
        <v>0</v>
      </c>
      <c r="AO194" s="183">
        <f t="shared" si="247"/>
        <v>9904.9000000000015</v>
      </c>
      <c r="AP194" s="183">
        <f t="shared" si="247"/>
        <v>0</v>
      </c>
      <c r="AQ194" s="183">
        <f t="shared" si="247"/>
        <v>7743.0999999999985</v>
      </c>
      <c r="AR194" s="183">
        <f t="shared" si="247"/>
        <v>0</v>
      </c>
      <c r="AS194" s="183">
        <f t="shared" si="247"/>
        <v>0</v>
      </c>
      <c r="AT194" s="183">
        <f t="shared" si="247"/>
        <v>38352</v>
      </c>
      <c r="AU194" s="183">
        <f t="shared" si="247"/>
        <v>0</v>
      </c>
      <c r="AV194" s="183">
        <f t="shared" si="247"/>
        <v>0</v>
      </c>
      <c r="AW194" s="183">
        <f>SUM(AW187:AW193)</f>
        <v>38352</v>
      </c>
      <c r="AX194" s="183">
        <f>SUM(AX187:AX193)</f>
        <v>0</v>
      </c>
      <c r="AY194" s="661"/>
      <c r="AZ194" s="661"/>
      <c r="BA194" s="661"/>
    </row>
    <row r="195" spans="2:53" s="76" customFormat="1" ht="33">
      <c r="B195" s="703"/>
      <c r="C195" s="220" t="s">
        <v>1874</v>
      </c>
      <c r="D195" s="207"/>
      <c r="E195" s="193"/>
      <c r="F195" s="193"/>
      <c r="G195" s="183"/>
      <c r="H195" s="752"/>
      <c r="I195" s="183"/>
      <c r="J195" s="731"/>
      <c r="K195" s="193"/>
      <c r="L195" s="193"/>
      <c r="M195" s="731"/>
      <c r="N195" s="193"/>
      <c r="O195" s="731"/>
      <c r="P195" s="184"/>
      <c r="Q195" s="193"/>
      <c r="R195" s="183"/>
      <c r="S195" s="183"/>
      <c r="T195" s="183"/>
      <c r="U195" s="183"/>
      <c r="V195" s="742"/>
      <c r="W195" s="183"/>
      <c r="X195" s="742"/>
      <c r="Y195" s="742"/>
      <c r="Z195" s="183"/>
      <c r="AA195" s="183"/>
      <c r="AB195" s="797"/>
      <c r="AC195" s="208"/>
      <c r="AD195" s="208"/>
      <c r="AE195" s="208"/>
      <c r="AF195" s="208"/>
      <c r="AG195" s="208"/>
      <c r="AH195" s="208"/>
      <c r="AI195" s="203"/>
      <c r="AJ195" s="203"/>
      <c r="AK195" s="203"/>
      <c r="AL195" s="203"/>
      <c r="AM195" s="203"/>
      <c r="AN195" s="203"/>
      <c r="AO195" s="205"/>
      <c r="AP195" s="205"/>
      <c r="AQ195" s="205"/>
      <c r="AR195" s="205"/>
      <c r="AS195" s="205"/>
      <c r="AT195" s="209"/>
      <c r="AU195" s="209"/>
      <c r="AV195" s="203"/>
      <c r="AW195" s="251"/>
      <c r="AX195" s="251"/>
      <c r="AY195" s="661"/>
      <c r="AZ195" s="661"/>
      <c r="BA195" s="661"/>
    </row>
    <row r="196" spans="2:53" s="76" customFormat="1" ht="94.5">
      <c r="B196" s="703">
        <f>B193+1</f>
        <v>138</v>
      </c>
      <c r="C196" s="197" t="s">
        <v>1188</v>
      </c>
      <c r="D196" s="198"/>
      <c r="E196" s="703" t="s">
        <v>1814</v>
      </c>
      <c r="F196" s="703">
        <v>3</v>
      </c>
      <c r="G196" s="199">
        <v>3770</v>
      </c>
      <c r="H196" s="736"/>
      <c r="I196" s="199"/>
      <c r="J196" s="736"/>
      <c r="K196" s="199"/>
      <c r="L196" s="199"/>
      <c r="M196" s="736"/>
      <c r="N196" s="199"/>
      <c r="O196" s="736"/>
      <c r="P196" s="199"/>
      <c r="Q196" s="199"/>
      <c r="R196" s="199">
        <f>G196+I196+K196+L196+N196+P196+Q196</f>
        <v>3770</v>
      </c>
      <c r="S196" s="199">
        <v>1</v>
      </c>
      <c r="T196" s="206"/>
      <c r="U196" s="206"/>
      <c r="V196" s="737">
        <v>0.1</v>
      </c>
      <c r="W196" s="199">
        <f>R196*V196</f>
        <v>377</v>
      </c>
      <c r="X196" s="718"/>
      <c r="Y196" s="737"/>
      <c r="Z196" s="199"/>
      <c r="AA196" s="199">
        <f>AH196</f>
        <v>4230</v>
      </c>
      <c r="AB196" s="796">
        <f>(R196+Z196+U196+W196)*S196+AA196</f>
        <v>8377</v>
      </c>
      <c r="AC196" s="738">
        <f>AF196</f>
        <v>0</v>
      </c>
      <c r="AD196" s="738">
        <f>AB196+AC196</f>
        <v>8377</v>
      </c>
      <c r="AE196" s="202">
        <f>AB196</f>
        <v>8377</v>
      </c>
      <c r="AF196" s="202">
        <f>AE196-AB196</f>
        <v>0</v>
      </c>
      <c r="AG196" s="738">
        <f>8000*S196</f>
        <v>8000</v>
      </c>
      <c r="AH196" s="202">
        <f>AG196-(R196*S196)</f>
        <v>4230</v>
      </c>
      <c r="AI196" s="203">
        <f>G196*S196</f>
        <v>3770</v>
      </c>
      <c r="AJ196" s="203">
        <f>G196*T196</f>
        <v>0</v>
      </c>
      <c r="AK196" s="203">
        <f>R196*S196</f>
        <v>3770</v>
      </c>
      <c r="AL196" s="203">
        <f>R196*T196</f>
        <v>0</v>
      </c>
      <c r="AM196" s="203">
        <f t="shared" ref="AM196:AN200" si="248">AK196-AI196</f>
        <v>0</v>
      </c>
      <c r="AN196" s="203">
        <f t="shared" si="248"/>
        <v>0</v>
      </c>
      <c r="AO196" s="205">
        <f>Z196*S196</f>
        <v>0</v>
      </c>
      <c r="AP196" s="205">
        <f>Z196*T196</f>
        <v>0</v>
      </c>
      <c r="AQ196" s="205">
        <f>AA196</f>
        <v>4230</v>
      </c>
      <c r="AR196" s="205">
        <f>W196*S196</f>
        <v>377</v>
      </c>
      <c r="AS196" s="205">
        <f>W196*T196</f>
        <v>0</v>
      </c>
      <c r="AT196" s="209">
        <f t="shared" si="194"/>
        <v>3770</v>
      </c>
      <c r="AU196" s="209">
        <f t="shared" si="194"/>
        <v>0</v>
      </c>
      <c r="AV196" s="203"/>
      <c r="AW196" s="251">
        <f>R196*S196</f>
        <v>3770</v>
      </c>
      <c r="AX196" s="251"/>
      <c r="AY196" s="661"/>
      <c r="AZ196" s="661"/>
      <c r="BA196" s="661"/>
    </row>
    <row r="197" spans="2:53" s="76" customFormat="1" ht="94.5">
      <c r="B197" s="703">
        <f t="shared" si="184"/>
        <v>139</v>
      </c>
      <c r="C197" s="197" t="s">
        <v>1188</v>
      </c>
      <c r="D197" s="198"/>
      <c r="E197" s="703" t="s">
        <v>1202</v>
      </c>
      <c r="F197" s="703">
        <v>3</v>
      </c>
      <c r="G197" s="199">
        <v>3770</v>
      </c>
      <c r="H197" s="736"/>
      <c r="I197" s="199"/>
      <c r="J197" s="736"/>
      <c r="K197" s="199"/>
      <c r="L197" s="199"/>
      <c r="M197" s="736"/>
      <c r="N197" s="199"/>
      <c r="O197" s="736"/>
      <c r="P197" s="199"/>
      <c r="Q197" s="199"/>
      <c r="R197" s="199">
        <f>G197+I197+K197+L197+N197+P197+Q197</f>
        <v>3770</v>
      </c>
      <c r="S197" s="199">
        <v>1</v>
      </c>
      <c r="T197" s="199"/>
      <c r="U197" s="199"/>
      <c r="V197" s="737">
        <v>0.1</v>
      </c>
      <c r="W197" s="199">
        <f>R197*V197</f>
        <v>377</v>
      </c>
      <c r="X197" s="718"/>
      <c r="Y197" s="737"/>
      <c r="Z197" s="199"/>
      <c r="AA197" s="199">
        <f>AH197</f>
        <v>4230</v>
      </c>
      <c r="AB197" s="796">
        <f>(R197+Z197+U197+W197)*S197+AA197</f>
        <v>8377</v>
      </c>
      <c r="AC197" s="738">
        <f>AF197</f>
        <v>0</v>
      </c>
      <c r="AD197" s="738">
        <f>AB197+AC197</f>
        <v>8377</v>
      </c>
      <c r="AE197" s="202">
        <f>AB197</f>
        <v>8377</v>
      </c>
      <c r="AF197" s="202">
        <f>AE197-AB197</f>
        <v>0</v>
      </c>
      <c r="AG197" s="738">
        <f>8000*S197</f>
        <v>8000</v>
      </c>
      <c r="AH197" s="202">
        <f>AG197-(R197*S197)</f>
        <v>4230</v>
      </c>
      <c r="AI197" s="203">
        <f>G197*S197</f>
        <v>3770</v>
      </c>
      <c r="AJ197" s="203">
        <f>G197*T197</f>
        <v>0</v>
      </c>
      <c r="AK197" s="203">
        <f>R197*S197</f>
        <v>3770</v>
      </c>
      <c r="AL197" s="203">
        <f>R197*T197</f>
        <v>0</v>
      </c>
      <c r="AM197" s="203">
        <f t="shared" si="248"/>
        <v>0</v>
      </c>
      <c r="AN197" s="203">
        <f t="shared" si="248"/>
        <v>0</v>
      </c>
      <c r="AO197" s="205">
        <f>Z197*S197</f>
        <v>0</v>
      </c>
      <c r="AP197" s="205">
        <f>Z197*T197</f>
        <v>0</v>
      </c>
      <c r="AQ197" s="205">
        <f>AA197</f>
        <v>4230</v>
      </c>
      <c r="AR197" s="205">
        <f>W197*S197</f>
        <v>377</v>
      </c>
      <c r="AS197" s="205">
        <f>W197*T197</f>
        <v>0</v>
      </c>
      <c r="AT197" s="209">
        <f t="shared" si="194"/>
        <v>3770</v>
      </c>
      <c r="AU197" s="209">
        <f t="shared" si="194"/>
        <v>0</v>
      </c>
      <c r="AV197" s="203"/>
      <c r="AW197" s="251">
        <f>R197*S197</f>
        <v>3770</v>
      </c>
      <c r="AX197" s="251"/>
      <c r="AY197" s="661"/>
      <c r="AZ197" s="661"/>
      <c r="BA197" s="661"/>
    </row>
    <row r="198" spans="2:53" s="76" customFormat="1" ht="94.5">
      <c r="B198" s="703">
        <f t="shared" si="184"/>
        <v>140</v>
      </c>
      <c r="C198" s="197" t="s">
        <v>1188</v>
      </c>
      <c r="D198" s="198"/>
      <c r="E198" s="703" t="s">
        <v>1815</v>
      </c>
      <c r="F198" s="703">
        <v>3</v>
      </c>
      <c r="G198" s="199">
        <v>3770</v>
      </c>
      <c r="H198" s="736"/>
      <c r="I198" s="199"/>
      <c r="J198" s="736"/>
      <c r="K198" s="199"/>
      <c r="L198" s="199"/>
      <c r="M198" s="736"/>
      <c r="N198" s="199"/>
      <c r="O198" s="736"/>
      <c r="P198" s="199"/>
      <c r="Q198" s="199"/>
      <c r="R198" s="199">
        <f>G198+I198+K198+L198+N198+P198+Q198</f>
        <v>3770</v>
      </c>
      <c r="S198" s="199">
        <v>1</v>
      </c>
      <c r="T198" s="199"/>
      <c r="U198" s="199"/>
      <c r="V198" s="737">
        <v>0.1</v>
      </c>
      <c r="W198" s="199">
        <f>R198*V198</f>
        <v>377</v>
      </c>
      <c r="X198" s="718"/>
      <c r="Y198" s="737"/>
      <c r="Z198" s="199"/>
      <c r="AA198" s="199">
        <f>AH198</f>
        <v>4230</v>
      </c>
      <c r="AB198" s="796">
        <f>(R198+Z198+U198+W198)*S198+AA198</f>
        <v>8377</v>
      </c>
      <c r="AC198" s="738">
        <f>AF198</f>
        <v>0</v>
      </c>
      <c r="AD198" s="738">
        <f>AB198+AC198</f>
        <v>8377</v>
      </c>
      <c r="AE198" s="202">
        <f>AB198</f>
        <v>8377</v>
      </c>
      <c r="AF198" s="202">
        <f>AE198-AB198</f>
        <v>0</v>
      </c>
      <c r="AG198" s="738">
        <f>8000*S198</f>
        <v>8000</v>
      </c>
      <c r="AH198" s="202">
        <f>AG198-(R198*S198)</f>
        <v>4230</v>
      </c>
      <c r="AI198" s="203">
        <f>G198*S198</f>
        <v>3770</v>
      </c>
      <c r="AJ198" s="203">
        <f>G198*T198</f>
        <v>0</v>
      </c>
      <c r="AK198" s="203">
        <f>R198*S198</f>
        <v>3770</v>
      </c>
      <c r="AL198" s="203">
        <f>R198*T198</f>
        <v>0</v>
      </c>
      <c r="AM198" s="203">
        <f t="shared" si="248"/>
        <v>0</v>
      </c>
      <c r="AN198" s="203">
        <f t="shared" si="248"/>
        <v>0</v>
      </c>
      <c r="AO198" s="205">
        <f>Z198*S198</f>
        <v>0</v>
      </c>
      <c r="AP198" s="205">
        <f>Z198*T198</f>
        <v>0</v>
      </c>
      <c r="AQ198" s="205">
        <f>AA198</f>
        <v>4230</v>
      </c>
      <c r="AR198" s="205">
        <f>W198*S198</f>
        <v>377</v>
      </c>
      <c r="AS198" s="205">
        <f>W198*T198</f>
        <v>0</v>
      </c>
      <c r="AT198" s="209">
        <f t="shared" si="194"/>
        <v>3770</v>
      </c>
      <c r="AU198" s="209">
        <f t="shared" si="194"/>
        <v>0</v>
      </c>
      <c r="AV198" s="203"/>
      <c r="AW198" s="251">
        <f>R198*S198</f>
        <v>3770</v>
      </c>
      <c r="AX198" s="251"/>
      <c r="AY198" s="661"/>
      <c r="AZ198" s="661"/>
      <c r="BA198" s="661"/>
    </row>
    <row r="199" spans="2:53" s="76" customFormat="1" ht="94.5">
      <c r="B199" s="703">
        <f t="shared" si="184"/>
        <v>141</v>
      </c>
      <c r="C199" s="197" t="s">
        <v>1188</v>
      </c>
      <c r="D199" s="198"/>
      <c r="E199" s="703" t="s">
        <v>1207</v>
      </c>
      <c r="F199" s="703">
        <v>3</v>
      </c>
      <c r="G199" s="199">
        <v>3770</v>
      </c>
      <c r="H199" s="736"/>
      <c r="I199" s="199"/>
      <c r="J199" s="736"/>
      <c r="K199" s="199"/>
      <c r="L199" s="199"/>
      <c r="M199" s="736"/>
      <c r="N199" s="199"/>
      <c r="O199" s="736"/>
      <c r="P199" s="199"/>
      <c r="Q199" s="199"/>
      <c r="R199" s="199">
        <f>G199+I199+K199+L199+N199+P199+Q199</f>
        <v>3770</v>
      </c>
      <c r="S199" s="199">
        <v>1</v>
      </c>
      <c r="T199" s="199"/>
      <c r="U199" s="199"/>
      <c r="V199" s="737">
        <v>0.1</v>
      </c>
      <c r="W199" s="199">
        <f>R199*V199</f>
        <v>377</v>
      </c>
      <c r="X199" s="718"/>
      <c r="Y199" s="737"/>
      <c r="Z199" s="199"/>
      <c r="AA199" s="199">
        <f>AH199</f>
        <v>4230</v>
      </c>
      <c r="AB199" s="796">
        <f>(R199+Z199+U199+W199)*S199+AA199</f>
        <v>8377</v>
      </c>
      <c r="AC199" s="738">
        <f>AF199</f>
        <v>0</v>
      </c>
      <c r="AD199" s="738">
        <f>AB199+AC199</f>
        <v>8377</v>
      </c>
      <c r="AE199" s="202">
        <f>AB199</f>
        <v>8377</v>
      </c>
      <c r="AF199" s="202">
        <f>AE199-AB199</f>
        <v>0</v>
      </c>
      <c r="AG199" s="738">
        <f>8000*S199</f>
        <v>8000</v>
      </c>
      <c r="AH199" s="202">
        <f>AG199-(R199*S199)</f>
        <v>4230</v>
      </c>
      <c r="AI199" s="203">
        <f>G199*S199</f>
        <v>3770</v>
      </c>
      <c r="AJ199" s="203">
        <f>G199*T199</f>
        <v>0</v>
      </c>
      <c r="AK199" s="203">
        <f>R199*S199</f>
        <v>3770</v>
      </c>
      <c r="AL199" s="203">
        <f>R199*T199</f>
        <v>0</v>
      </c>
      <c r="AM199" s="203">
        <f t="shared" si="248"/>
        <v>0</v>
      </c>
      <c r="AN199" s="203">
        <f t="shared" si="248"/>
        <v>0</v>
      </c>
      <c r="AO199" s="205">
        <f>Z199*S199</f>
        <v>0</v>
      </c>
      <c r="AP199" s="205">
        <f>Z199*T199</f>
        <v>0</v>
      </c>
      <c r="AQ199" s="205">
        <f>AA199</f>
        <v>4230</v>
      </c>
      <c r="AR199" s="205">
        <f>W199*S199</f>
        <v>377</v>
      </c>
      <c r="AS199" s="205">
        <f>W199*T199</f>
        <v>0</v>
      </c>
      <c r="AT199" s="209">
        <f t="shared" si="194"/>
        <v>3770</v>
      </c>
      <c r="AU199" s="209">
        <f t="shared" si="194"/>
        <v>0</v>
      </c>
      <c r="AV199" s="203"/>
      <c r="AW199" s="251">
        <f>R199*S199</f>
        <v>3770</v>
      </c>
      <c r="AX199" s="251"/>
      <c r="AY199" s="661"/>
      <c r="AZ199" s="661"/>
      <c r="BA199" s="661"/>
    </row>
    <row r="200" spans="2:53" s="76" customFormat="1" ht="94.5">
      <c r="B200" s="703">
        <f t="shared" si="184"/>
        <v>142</v>
      </c>
      <c r="C200" s="197" t="s">
        <v>1188</v>
      </c>
      <c r="D200" s="198"/>
      <c r="E200" s="703" t="s">
        <v>1203</v>
      </c>
      <c r="F200" s="703">
        <v>3</v>
      </c>
      <c r="G200" s="199">
        <v>3770</v>
      </c>
      <c r="H200" s="736"/>
      <c r="I200" s="199"/>
      <c r="J200" s="736"/>
      <c r="K200" s="199"/>
      <c r="L200" s="199"/>
      <c r="M200" s="736"/>
      <c r="N200" s="199"/>
      <c r="O200" s="736"/>
      <c r="P200" s="199"/>
      <c r="Q200" s="199"/>
      <c r="R200" s="199">
        <f>G200+I200+K200+L200+N200+P200+Q200</f>
        <v>3770</v>
      </c>
      <c r="S200" s="199">
        <v>1</v>
      </c>
      <c r="T200" s="199"/>
      <c r="U200" s="199"/>
      <c r="V200" s="737">
        <v>0.1</v>
      </c>
      <c r="W200" s="199">
        <f>R200*V200</f>
        <v>377</v>
      </c>
      <c r="X200" s="718"/>
      <c r="Y200" s="737"/>
      <c r="Z200" s="199"/>
      <c r="AA200" s="199">
        <f>AH200</f>
        <v>4230</v>
      </c>
      <c r="AB200" s="796">
        <f>(R200+Z200+U200+W200)*S200+AA200</f>
        <v>8377</v>
      </c>
      <c r="AC200" s="738">
        <f>AF200</f>
        <v>0</v>
      </c>
      <c r="AD200" s="738">
        <f>AB200+AC200</f>
        <v>8377</v>
      </c>
      <c r="AE200" s="202">
        <f>AB200</f>
        <v>8377</v>
      </c>
      <c r="AF200" s="202">
        <f>AE200-AB200</f>
        <v>0</v>
      </c>
      <c r="AG200" s="738">
        <f>8000*S200</f>
        <v>8000</v>
      </c>
      <c r="AH200" s="202">
        <f>AG200-(R200*S200)</f>
        <v>4230</v>
      </c>
      <c r="AI200" s="203">
        <f>G200*S200</f>
        <v>3770</v>
      </c>
      <c r="AJ200" s="203">
        <f>G200*T200</f>
        <v>0</v>
      </c>
      <c r="AK200" s="203">
        <f>R200*S200</f>
        <v>3770</v>
      </c>
      <c r="AL200" s="203">
        <f>R200*T200</f>
        <v>0</v>
      </c>
      <c r="AM200" s="203">
        <f t="shared" si="248"/>
        <v>0</v>
      </c>
      <c r="AN200" s="203">
        <f t="shared" si="248"/>
        <v>0</v>
      </c>
      <c r="AO200" s="205">
        <f>Z200*S200</f>
        <v>0</v>
      </c>
      <c r="AP200" s="205">
        <f>Z200*T200</f>
        <v>0</v>
      </c>
      <c r="AQ200" s="205">
        <f>AA200</f>
        <v>4230</v>
      </c>
      <c r="AR200" s="205">
        <f>W200*S200</f>
        <v>377</v>
      </c>
      <c r="AS200" s="205">
        <f>W200*T200</f>
        <v>0</v>
      </c>
      <c r="AT200" s="209">
        <f t="shared" si="194"/>
        <v>3770</v>
      </c>
      <c r="AU200" s="209">
        <f t="shared" si="194"/>
        <v>0</v>
      </c>
      <c r="AV200" s="203"/>
      <c r="AW200" s="251">
        <f>R200*S200</f>
        <v>3770</v>
      </c>
      <c r="AX200" s="251"/>
      <c r="AY200" s="661"/>
      <c r="AZ200" s="661"/>
      <c r="BA200" s="661"/>
    </row>
    <row r="201" spans="2:53" s="76" customFormat="1" ht="31.5">
      <c r="B201" s="703"/>
      <c r="C201" s="180" t="s">
        <v>1736</v>
      </c>
      <c r="D201" s="223"/>
      <c r="E201" s="193"/>
      <c r="F201" s="193"/>
      <c r="G201" s="183">
        <f>SUM(G196:G200)</f>
        <v>18850</v>
      </c>
      <c r="H201" s="731"/>
      <c r="I201" s="193"/>
      <c r="J201" s="731"/>
      <c r="K201" s="193"/>
      <c r="L201" s="193"/>
      <c r="M201" s="731"/>
      <c r="N201" s="193"/>
      <c r="O201" s="731"/>
      <c r="P201" s="193"/>
      <c r="Q201" s="193"/>
      <c r="R201" s="183">
        <f>SUM(R196:R200)</f>
        <v>18850</v>
      </c>
      <c r="S201" s="183">
        <f>SUM(S196:S200)</f>
        <v>5</v>
      </c>
      <c r="T201" s="183">
        <f>SUM(T196:T200)</f>
        <v>0</v>
      </c>
      <c r="U201" s="183"/>
      <c r="V201" s="742"/>
      <c r="W201" s="183">
        <f>SUM(W196:W200)</f>
        <v>1885</v>
      </c>
      <c r="X201" s="742"/>
      <c r="Y201" s="742"/>
      <c r="Z201" s="183"/>
      <c r="AA201" s="183">
        <f>SUM(AA196:AA200)</f>
        <v>21150</v>
      </c>
      <c r="AB201" s="797">
        <f>SUM(AB196:AB200)</f>
        <v>41885</v>
      </c>
      <c r="AC201" s="183">
        <f t="shared" ref="AC201:AV201" si="249">SUM(AC196:AC200)</f>
        <v>0</v>
      </c>
      <c r="AD201" s="183">
        <f>SUM(AD196:AD200)</f>
        <v>41885</v>
      </c>
      <c r="AE201" s="183">
        <f t="shared" si="249"/>
        <v>41885</v>
      </c>
      <c r="AF201" s="183">
        <f t="shared" si="249"/>
        <v>0</v>
      </c>
      <c r="AG201" s="183">
        <f>SUM(AG196:AG200)</f>
        <v>40000</v>
      </c>
      <c r="AH201" s="183">
        <f t="shared" si="249"/>
        <v>21150</v>
      </c>
      <c r="AI201" s="183">
        <f t="shared" si="249"/>
        <v>18850</v>
      </c>
      <c r="AJ201" s="183">
        <f t="shared" si="249"/>
        <v>0</v>
      </c>
      <c r="AK201" s="183">
        <f t="shared" si="249"/>
        <v>18850</v>
      </c>
      <c r="AL201" s="183">
        <f t="shared" si="249"/>
        <v>0</v>
      </c>
      <c r="AM201" s="183">
        <f t="shared" si="249"/>
        <v>0</v>
      </c>
      <c r="AN201" s="183">
        <f t="shared" si="249"/>
        <v>0</v>
      </c>
      <c r="AO201" s="183">
        <f t="shared" si="249"/>
        <v>0</v>
      </c>
      <c r="AP201" s="183">
        <f t="shared" si="249"/>
        <v>0</v>
      </c>
      <c r="AQ201" s="183">
        <f t="shared" si="249"/>
        <v>21150</v>
      </c>
      <c r="AR201" s="183">
        <f t="shared" si="249"/>
        <v>1885</v>
      </c>
      <c r="AS201" s="183">
        <f t="shared" si="249"/>
        <v>0</v>
      </c>
      <c r="AT201" s="183">
        <f t="shared" si="249"/>
        <v>18850</v>
      </c>
      <c r="AU201" s="183">
        <f t="shared" si="249"/>
        <v>0</v>
      </c>
      <c r="AV201" s="183">
        <f t="shared" si="249"/>
        <v>0</v>
      </c>
      <c r="AW201" s="183">
        <f>SUM(AW196:AW200)</f>
        <v>18850</v>
      </c>
      <c r="AX201" s="183">
        <f>SUM(AX196:AX200)</f>
        <v>0</v>
      </c>
      <c r="AY201" s="661"/>
      <c r="AZ201" s="661"/>
      <c r="BA201" s="661"/>
    </row>
    <row r="202" spans="2:53" s="76" customFormat="1" ht="31.5">
      <c r="B202" s="703"/>
      <c r="C202" s="180" t="s">
        <v>1278</v>
      </c>
      <c r="D202" s="207"/>
      <c r="E202" s="194"/>
      <c r="F202" s="193"/>
      <c r="G202" s="183">
        <f>G185+G194+G201</f>
        <v>71184</v>
      </c>
      <c r="H202" s="742"/>
      <c r="I202" s="183">
        <f t="shared" ref="I202:AV202" si="250">I185+I194+I201</f>
        <v>524</v>
      </c>
      <c r="J202" s="742"/>
      <c r="K202" s="183"/>
      <c r="L202" s="183"/>
      <c r="M202" s="742"/>
      <c r="N202" s="183"/>
      <c r="O202" s="742"/>
      <c r="P202" s="183"/>
      <c r="Q202" s="183"/>
      <c r="R202" s="183">
        <f t="shared" si="250"/>
        <v>72433.3</v>
      </c>
      <c r="S202" s="183">
        <f t="shared" si="250"/>
        <v>14</v>
      </c>
      <c r="T202" s="183">
        <f t="shared" si="250"/>
        <v>0</v>
      </c>
      <c r="U202" s="183"/>
      <c r="V202" s="742"/>
      <c r="W202" s="183">
        <f t="shared" si="250"/>
        <v>1885</v>
      </c>
      <c r="X202" s="742"/>
      <c r="Y202" s="742"/>
      <c r="Z202" s="183">
        <f t="shared" si="250"/>
        <v>14474.29</v>
      </c>
      <c r="AA202" s="183">
        <f t="shared" si="250"/>
        <v>28893.1</v>
      </c>
      <c r="AB202" s="797">
        <f t="shared" si="250"/>
        <v>117685.69</v>
      </c>
      <c r="AC202" s="183">
        <f t="shared" si="250"/>
        <v>58699.31</v>
      </c>
      <c r="AD202" s="183">
        <f>AD185+AD194+AD201</f>
        <v>176385</v>
      </c>
      <c r="AE202" s="183">
        <f t="shared" si="250"/>
        <v>176385</v>
      </c>
      <c r="AF202" s="183">
        <f t="shared" si="250"/>
        <v>58699.31</v>
      </c>
      <c r="AG202" s="183">
        <f>AG185+AG194+AG201</f>
        <v>112000</v>
      </c>
      <c r="AH202" s="183">
        <f t="shared" si="250"/>
        <v>25092.409999999996</v>
      </c>
      <c r="AI202" s="183">
        <f t="shared" si="250"/>
        <v>71184</v>
      </c>
      <c r="AJ202" s="183">
        <f t="shared" si="250"/>
        <v>0</v>
      </c>
      <c r="AK202" s="183">
        <f t="shared" si="250"/>
        <v>72433.3</v>
      </c>
      <c r="AL202" s="183">
        <f t="shared" si="250"/>
        <v>0</v>
      </c>
      <c r="AM202" s="183">
        <f t="shared" si="250"/>
        <v>1249.3000000000002</v>
      </c>
      <c r="AN202" s="183">
        <f t="shared" si="250"/>
        <v>0</v>
      </c>
      <c r="AO202" s="183">
        <f t="shared" si="250"/>
        <v>14474.29</v>
      </c>
      <c r="AP202" s="183">
        <f t="shared" si="250"/>
        <v>0</v>
      </c>
      <c r="AQ202" s="183">
        <f t="shared" si="250"/>
        <v>28893.1</v>
      </c>
      <c r="AR202" s="183">
        <f t="shared" si="250"/>
        <v>1885</v>
      </c>
      <c r="AS202" s="183">
        <f t="shared" si="250"/>
        <v>0</v>
      </c>
      <c r="AT202" s="183">
        <f t="shared" si="250"/>
        <v>72433.3</v>
      </c>
      <c r="AU202" s="183">
        <f t="shared" si="250"/>
        <v>0</v>
      </c>
      <c r="AV202" s="183">
        <f t="shared" si="250"/>
        <v>0</v>
      </c>
      <c r="AW202" s="183">
        <f>AW185+AW194+AW201</f>
        <v>72433.3</v>
      </c>
      <c r="AX202" s="183">
        <f>AX185+AX194+AX201</f>
        <v>0</v>
      </c>
      <c r="AY202" s="661"/>
      <c r="AZ202" s="661"/>
      <c r="BA202" s="661"/>
    </row>
    <row r="203" spans="2:53" s="76" customFormat="1" ht="33">
      <c r="B203" s="703"/>
      <c r="C203" s="191" t="s">
        <v>1771</v>
      </c>
      <c r="D203" s="192"/>
      <c r="E203" s="193"/>
      <c r="F203" s="193"/>
      <c r="G203" s="193"/>
      <c r="H203" s="731"/>
      <c r="I203" s="193"/>
      <c r="J203" s="731"/>
      <c r="K203" s="193"/>
      <c r="L203" s="193"/>
      <c r="M203" s="731"/>
      <c r="N203" s="193"/>
      <c r="O203" s="731"/>
      <c r="P203" s="193"/>
      <c r="Q203" s="193"/>
      <c r="R203" s="193"/>
      <c r="S203" s="193"/>
      <c r="T203" s="193"/>
      <c r="U203" s="193"/>
      <c r="V203" s="732"/>
      <c r="W203" s="193"/>
      <c r="X203" s="732"/>
      <c r="Y203" s="732"/>
      <c r="Z203" s="193"/>
      <c r="AA203" s="193"/>
      <c r="AB203" s="795"/>
      <c r="AC203" s="195"/>
      <c r="AD203" s="195"/>
      <c r="AE203" s="195"/>
      <c r="AF203" s="195"/>
      <c r="AG203" s="195"/>
      <c r="AH203" s="195"/>
      <c r="AI203" s="203">
        <f>G203*S203</f>
        <v>0</v>
      </c>
      <c r="AJ203" s="203">
        <f>G203*T203</f>
        <v>0</v>
      </c>
      <c r="AK203" s="203">
        <f>R203*S203</f>
        <v>0</v>
      </c>
      <c r="AL203" s="203">
        <f>R203*T203</f>
        <v>0</v>
      </c>
      <c r="AM203" s="203">
        <f t="shared" ref="AM203:AN206" si="251">AK203-AI203</f>
        <v>0</v>
      </c>
      <c r="AN203" s="203">
        <f t="shared" si="251"/>
        <v>0</v>
      </c>
      <c r="AO203" s="205">
        <f>Z203*S203</f>
        <v>0</v>
      </c>
      <c r="AP203" s="205">
        <f>Z203*T203</f>
        <v>0</v>
      </c>
      <c r="AQ203" s="205">
        <f>AA203</f>
        <v>0</v>
      </c>
      <c r="AR203" s="205">
        <f>W203*S203</f>
        <v>0</v>
      </c>
      <c r="AS203" s="205">
        <f>W203*T203</f>
        <v>0</v>
      </c>
      <c r="AT203" s="209"/>
      <c r="AU203" s="209"/>
      <c r="AV203" s="203"/>
      <c r="AW203" s="251"/>
      <c r="AX203" s="251"/>
      <c r="AY203" s="661"/>
      <c r="AZ203" s="661"/>
      <c r="BA203" s="661"/>
    </row>
    <row r="204" spans="2:53" s="76" customFormat="1" ht="33">
      <c r="B204" s="703"/>
      <c r="C204" s="220" t="s">
        <v>1382</v>
      </c>
      <c r="D204" s="217"/>
      <c r="E204" s="218"/>
      <c r="F204" s="218"/>
      <c r="G204" s="218"/>
      <c r="H204" s="745"/>
      <c r="I204" s="218"/>
      <c r="J204" s="745"/>
      <c r="K204" s="218"/>
      <c r="L204" s="218"/>
      <c r="M204" s="745"/>
      <c r="N204" s="218"/>
      <c r="O204" s="745"/>
      <c r="P204" s="218"/>
      <c r="Q204" s="218"/>
      <c r="R204" s="218"/>
      <c r="S204" s="218"/>
      <c r="T204" s="218"/>
      <c r="U204" s="218"/>
      <c r="V204" s="746"/>
      <c r="W204" s="218"/>
      <c r="X204" s="746"/>
      <c r="Y204" s="746"/>
      <c r="Z204" s="218"/>
      <c r="AA204" s="218"/>
      <c r="AB204" s="799"/>
      <c r="AC204" s="219"/>
      <c r="AD204" s="219"/>
      <c r="AE204" s="219"/>
      <c r="AF204" s="219"/>
      <c r="AG204" s="219"/>
      <c r="AH204" s="219"/>
      <c r="AI204" s="203">
        <f>G204*S204</f>
        <v>0</v>
      </c>
      <c r="AJ204" s="203">
        <f>G204*T204</f>
        <v>0</v>
      </c>
      <c r="AK204" s="203">
        <f>R204*S204</f>
        <v>0</v>
      </c>
      <c r="AL204" s="203">
        <f>R204*T204</f>
        <v>0</v>
      </c>
      <c r="AM204" s="203">
        <f t="shared" si="251"/>
        <v>0</v>
      </c>
      <c r="AN204" s="203">
        <f t="shared" si="251"/>
        <v>0</v>
      </c>
      <c r="AO204" s="205">
        <f>Z204*S204</f>
        <v>0</v>
      </c>
      <c r="AP204" s="205">
        <f>Z204*T204</f>
        <v>0</v>
      </c>
      <c r="AQ204" s="205">
        <f>AA204</f>
        <v>0</v>
      </c>
      <c r="AR204" s="205">
        <f>W204*S204</f>
        <v>0</v>
      </c>
      <c r="AS204" s="205">
        <f>W204*T204</f>
        <v>0</v>
      </c>
      <c r="AT204" s="209"/>
      <c r="AU204" s="209"/>
      <c r="AV204" s="203"/>
      <c r="AW204" s="251"/>
      <c r="AX204" s="251"/>
      <c r="AY204" s="661"/>
      <c r="AZ204" s="661"/>
      <c r="BA204" s="661"/>
    </row>
    <row r="205" spans="2:53" s="76" customFormat="1" ht="58.5">
      <c r="B205" s="703">
        <f>B200+1</f>
        <v>143</v>
      </c>
      <c r="C205" s="197" t="s">
        <v>1030</v>
      </c>
      <c r="D205" s="198" t="s">
        <v>1031</v>
      </c>
      <c r="E205" s="703" t="s">
        <v>1032</v>
      </c>
      <c r="F205" s="703">
        <v>13</v>
      </c>
      <c r="G205" s="199">
        <v>7253</v>
      </c>
      <c r="H205" s="737">
        <v>0.1</v>
      </c>
      <c r="I205" s="703">
        <f>G205*H205</f>
        <v>725.30000000000007</v>
      </c>
      <c r="J205" s="718"/>
      <c r="K205" s="703"/>
      <c r="L205" s="703"/>
      <c r="M205" s="718"/>
      <c r="N205" s="703"/>
      <c r="O205" s="718"/>
      <c r="P205" s="703"/>
      <c r="Q205" s="703"/>
      <c r="R205" s="199">
        <f>G205+I205+K205+L205+N205+P205+Q205</f>
        <v>7978.3</v>
      </c>
      <c r="S205" s="199">
        <v>1</v>
      </c>
      <c r="T205" s="199"/>
      <c r="U205" s="703"/>
      <c r="V205" s="718"/>
      <c r="W205" s="703"/>
      <c r="X205" s="718">
        <v>34</v>
      </c>
      <c r="Y205" s="737">
        <v>0.3</v>
      </c>
      <c r="Z205" s="199">
        <f>R205*Y205</f>
        <v>2393.4899999999998</v>
      </c>
      <c r="AA205" s="199"/>
      <c r="AB205" s="796">
        <f>R205+Z205</f>
        <v>10371.790000000001</v>
      </c>
      <c r="AC205" s="738">
        <f>AF205</f>
        <v>9628.2099999999991</v>
      </c>
      <c r="AD205" s="738">
        <f>AB205+AC205</f>
        <v>20000</v>
      </c>
      <c r="AE205" s="202">
        <f>20000*S205</f>
        <v>20000</v>
      </c>
      <c r="AF205" s="202">
        <f>AE205-AB205</f>
        <v>9628.2099999999991</v>
      </c>
      <c r="AG205" s="738">
        <f>8000*S205</f>
        <v>8000</v>
      </c>
      <c r="AH205" s="202">
        <f>AG205-AB205</f>
        <v>-2371.7900000000009</v>
      </c>
      <c r="AI205" s="203">
        <f>G205*S205</f>
        <v>7253</v>
      </c>
      <c r="AJ205" s="203">
        <f>G205*T205</f>
        <v>0</v>
      </c>
      <c r="AK205" s="203">
        <f>R205*S205</f>
        <v>7978.3</v>
      </c>
      <c r="AL205" s="203">
        <f>R205*T205</f>
        <v>0</v>
      </c>
      <c r="AM205" s="203">
        <f t="shared" si="251"/>
        <v>725.30000000000018</v>
      </c>
      <c r="AN205" s="203">
        <f t="shared" si="251"/>
        <v>0</v>
      </c>
      <c r="AO205" s="205">
        <f>Z205*S205</f>
        <v>2393.4899999999998</v>
      </c>
      <c r="AP205" s="205">
        <f>Z205*T205</f>
        <v>0</v>
      </c>
      <c r="AQ205" s="205">
        <f>AA205</f>
        <v>0</v>
      </c>
      <c r="AR205" s="205">
        <f>W205*S205</f>
        <v>0</v>
      </c>
      <c r="AS205" s="205">
        <f>W205*T205</f>
        <v>0</v>
      </c>
      <c r="AT205" s="209">
        <f t="shared" si="194"/>
        <v>7978.3</v>
      </c>
      <c r="AU205" s="209">
        <f t="shared" si="194"/>
        <v>0</v>
      </c>
      <c r="AV205" s="203"/>
      <c r="AW205" s="251">
        <f>R205*S205</f>
        <v>7978.3</v>
      </c>
      <c r="AX205" s="251"/>
      <c r="AY205" s="661"/>
      <c r="AZ205" s="661"/>
      <c r="BA205" s="661"/>
    </row>
    <row r="206" spans="2:53" s="76" customFormat="1" ht="58.5">
      <c r="B206" s="703">
        <f t="shared" si="184"/>
        <v>144</v>
      </c>
      <c r="C206" s="197" t="s">
        <v>1033</v>
      </c>
      <c r="D206" s="198" t="s">
        <v>1358</v>
      </c>
      <c r="E206" s="703" t="s">
        <v>1034</v>
      </c>
      <c r="F206" s="703">
        <v>12</v>
      </c>
      <c r="G206" s="199">
        <v>6773</v>
      </c>
      <c r="H206" s="736"/>
      <c r="I206" s="199"/>
      <c r="J206" s="736"/>
      <c r="K206" s="199"/>
      <c r="L206" s="199"/>
      <c r="M206" s="736"/>
      <c r="N206" s="199"/>
      <c r="O206" s="736"/>
      <c r="P206" s="199"/>
      <c r="Q206" s="199"/>
      <c r="R206" s="199">
        <f>G206+I206+K206+L206+N206+P206+Q206</f>
        <v>6773</v>
      </c>
      <c r="S206" s="199">
        <v>1</v>
      </c>
      <c r="T206" s="199"/>
      <c r="U206" s="199"/>
      <c r="V206" s="736"/>
      <c r="W206" s="199"/>
      <c r="X206" s="718">
        <v>43</v>
      </c>
      <c r="Y206" s="737">
        <v>0.3</v>
      </c>
      <c r="Z206" s="199">
        <f>R206*Y206</f>
        <v>2031.8999999999999</v>
      </c>
      <c r="AA206" s="199"/>
      <c r="AB206" s="796">
        <f>(R206+Z206)*S206</f>
        <v>8804.9</v>
      </c>
      <c r="AC206" s="738">
        <f>AF206</f>
        <v>11195.1</v>
      </c>
      <c r="AD206" s="738">
        <f>AB206+AC206</f>
        <v>20000</v>
      </c>
      <c r="AE206" s="202">
        <f>20000*S206</f>
        <v>20000</v>
      </c>
      <c r="AF206" s="202">
        <f>AE206-AB206</f>
        <v>11195.1</v>
      </c>
      <c r="AG206" s="738">
        <f>8000*S206</f>
        <v>8000</v>
      </c>
      <c r="AH206" s="202">
        <f>AG206-AB206</f>
        <v>-804.89999999999964</v>
      </c>
      <c r="AI206" s="203">
        <f>G206*S206</f>
        <v>6773</v>
      </c>
      <c r="AJ206" s="203">
        <f>G206*T206</f>
        <v>0</v>
      </c>
      <c r="AK206" s="203">
        <f>R206*S206</f>
        <v>6773</v>
      </c>
      <c r="AL206" s="203">
        <f>R206*T206</f>
        <v>0</v>
      </c>
      <c r="AM206" s="203">
        <f t="shared" si="251"/>
        <v>0</v>
      </c>
      <c r="AN206" s="203">
        <f t="shared" si="251"/>
        <v>0</v>
      </c>
      <c r="AO206" s="205">
        <f>Z206*S206</f>
        <v>2031.8999999999999</v>
      </c>
      <c r="AP206" s="205">
        <f>Z206*T206</f>
        <v>0</v>
      </c>
      <c r="AQ206" s="205">
        <f>AA206</f>
        <v>0</v>
      </c>
      <c r="AR206" s="205">
        <f>W206*S206</f>
        <v>0</v>
      </c>
      <c r="AS206" s="205">
        <f>W206*T206</f>
        <v>0</v>
      </c>
      <c r="AT206" s="209">
        <f t="shared" si="194"/>
        <v>6773</v>
      </c>
      <c r="AU206" s="209">
        <f t="shared" si="194"/>
        <v>0</v>
      </c>
      <c r="AV206" s="203"/>
      <c r="AW206" s="251">
        <f>R206*S206</f>
        <v>6773</v>
      </c>
      <c r="AX206" s="251"/>
      <c r="AY206" s="661"/>
      <c r="AZ206" s="661"/>
      <c r="BA206" s="661"/>
    </row>
    <row r="207" spans="2:53" s="76" customFormat="1" ht="31.5">
      <c r="B207" s="703"/>
      <c r="C207" s="180" t="s">
        <v>1736</v>
      </c>
      <c r="D207" s="207"/>
      <c r="E207" s="193"/>
      <c r="F207" s="193"/>
      <c r="G207" s="183">
        <f>SUM(G205:G206)</f>
        <v>14026</v>
      </c>
      <c r="H207" s="752"/>
      <c r="I207" s="183">
        <f>SUM(I205:I206)</f>
        <v>725.30000000000007</v>
      </c>
      <c r="J207" s="731"/>
      <c r="K207" s="193"/>
      <c r="L207" s="193"/>
      <c r="M207" s="731"/>
      <c r="N207" s="193"/>
      <c r="O207" s="731"/>
      <c r="P207" s="193"/>
      <c r="Q207" s="193"/>
      <c r="R207" s="183">
        <f>SUM(R205:R206)</f>
        <v>14751.3</v>
      </c>
      <c r="S207" s="183">
        <f>SUM(S205:S206)</f>
        <v>2</v>
      </c>
      <c r="T207" s="183">
        <f>SUM(T205:T206)</f>
        <v>0</v>
      </c>
      <c r="U207" s="183"/>
      <c r="V207" s="742"/>
      <c r="W207" s="183"/>
      <c r="X207" s="742"/>
      <c r="Y207" s="742"/>
      <c r="Z207" s="183">
        <f t="shared" ref="Z207:AV207" si="252">SUM(Z205:Z206)</f>
        <v>4425.3899999999994</v>
      </c>
      <c r="AA207" s="183">
        <f t="shared" si="252"/>
        <v>0</v>
      </c>
      <c r="AB207" s="797">
        <f t="shared" si="252"/>
        <v>19176.690000000002</v>
      </c>
      <c r="AC207" s="183">
        <f t="shared" si="252"/>
        <v>20823.309999999998</v>
      </c>
      <c r="AD207" s="183">
        <f>SUM(AD205:AD206)</f>
        <v>40000</v>
      </c>
      <c r="AE207" s="183">
        <f t="shared" si="252"/>
        <v>40000</v>
      </c>
      <c r="AF207" s="183">
        <f t="shared" si="252"/>
        <v>20823.309999999998</v>
      </c>
      <c r="AG207" s="183">
        <f>SUM(AG205:AG206)</f>
        <v>16000</v>
      </c>
      <c r="AH207" s="183">
        <f t="shared" si="252"/>
        <v>-3176.6900000000005</v>
      </c>
      <c r="AI207" s="183">
        <f t="shared" si="252"/>
        <v>14026</v>
      </c>
      <c r="AJ207" s="183">
        <f t="shared" si="252"/>
        <v>0</v>
      </c>
      <c r="AK207" s="183">
        <f t="shared" si="252"/>
        <v>14751.3</v>
      </c>
      <c r="AL207" s="183">
        <f t="shared" si="252"/>
        <v>0</v>
      </c>
      <c r="AM207" s="183">
        <f t="shared" si="252"/>
        <v>725.30000000000018</v>
      </c>
      <c r="AN207" s="183">
        <f t="shared" si="252"/>
        <v>0</v>
      </c>
      <c r="AO207" s="183">
        <f t="shared" si="252"/>
        <v>4425.3899999999994</v>
      </c>
      <c r="AP207" s="183">
        <f t="shared" si="252"/>
        <v>0</v>
      </c>
      <c r="AQ207" s="183">
        <f t="shared" si="252"/>
        <v>0</v>
      </c>
      <c r="AR207" s="183">
        <f t="shared" si="252"/>
        <v>0</v>
      </c>
      <c r="AS207" s="183">
        <f t="shared" si="252"/>
        <v>0</v>
      </c>
      <c r="AT207" s="183">
        <f t="shared" si="252"/>
        <v>14751.3</v>
      </c>
      <c r="AU207" s="183">
        <f t="shared" si="252"/>
        <v>0</v>
      </c>
      <c r="AV207" s="183">
        <f t="shared" si="252"/>
        <v>0</v>
      </c>
      <c r="AW207" s="183">
        <f>SUM(AW205:AW206)</f>
        <v>14751.3</v>
      </c>
      <c r="AX207" s="183">
        <f>SUM(AX205:AX206)</f>
        <v>0</v>
      </c>
      <c r="AY207" s="661"/>
      <c r="AZ207" s="661"/>
      <c r="BA207" s="661"/>
    </row>
    <row r="208" spans="2:53" s="76" customFormat="1" ht="33">
      <c r="B208" s="703"/>
      <c r="C208" s="220" t="s">
        <v>1581</v>
      </c>
      <c r="D208" s="192"/>
      <c r="E208" s="193"/>
      <c r="F208" s="193"/>
      <c r="G208" s="193"/>
      <c r="H208" s="731"/>
      <c r="I208" s="193"/>
      <c r="J208" s="731"/>
      <c r="K208" s="193"/>
      <c r="L208" s="193"/>
      <c r="M208" s="731"/>
      <c r="N208" s="193"/>
      <c r="O208" s="731"/>
      <c r="P208" s="193"/>
      <c r="Q208" s="193"/>
      <c r="R208" s="193"/>
      <c r="S208" s="193"/>
      <c r="T208" s="193"/>
      <c r="U208" s="193"/>
      <c r="V208" s="732"/>
      <c r="W208" s="193"/>
      <c r="X208" s="732"/>
      <c r="Y208" s="732"/>
      <c r="Z208" s="193"/>
      <c r="AA208" s="193"/>
      <c r="AB208" s="795"/>
      <c r="AC208" s="195"/>
      <c r="AD208" s="195"/>
      <c r="AE208" s="195"/>
      <c r="AF208" s="195"/>
      <c r="AG208" s="195"/>
      <c r="AH208" s="195"/>
      <c r="AI208" s="203"/>
      <c r="AJ208" s="203"/>
      <c r="AK208" s="203"/>
      <c r="AL208" s="203"/>
      <c r="AM208" s="203"/>
      <c r="AN208" s="203"/>
      <c r="AO208" s="205"/>
      <c r="AP208" s="205"/>
      <c r="AQ208" s="205"/>
      <c r="AR208" s="205"/>
      <c r="AS208" s="205"/>
      <c r="AT208" s="209"/>
      <c r="AU208" s="209"/>
      <c r="AV208" s="203"/>
      <c r="AW208" s="251"/>
      <c r="AX208" s="251"/>
      <c r="AY208" s="661"/>
      <c r="AZ208" s="661"/>
      <c r="BA208" s="661"/>
    </row>
    <row r="209" spans="2:53" s="76" customFormat="1" ht="63">
      <c r="B209" s="703">
        <f>B206+1</f>
        <v>145</v>
      </c>
      <c r="C209" s="197" t="s">
        <v>1080</v>
      </c>
      <c r="D209" s="198" t="s">
        <v>1363</v>
      </c>
      <c r="E209" s="703" t="s">
        <v>1124</v>
      </c>
      <c r="F209" s="703">
        <v>9</v>
      </c>
      <c r="G209" s="199">
        <v>5527</v>
      </c>
      <c r="H209" s="737">
        <v>0.1</v>
      </c>
      <c r="I209" s="703">
        <f>G209*H209</f>
        <v>552.70000000000005</v>
      </c>
      <c r="J209" s="741"/>
      <c r="K209" s="206"/>
      <c r="L209" s="206"/>
      <c r="M209" s="741"/>
      <c r="N209" s="206"/>
      <c r="O209" s="741"/>
      <c r="P209" s="206"/>
      <c r="Q209" s="206"/>
      <c r="R209" s="199">
        <f>G209+I209+K209+L209+N209+P209+Q209</f>
        <v>6079.7</v>
      </c>
      <c r="S209" s="199">
        <v>1</v>
      </c>
      <c r="T209" s="206"/>
      <c r="U209" s="206"/>
      <c r="V209" s="741"/>
      <c r="W209" s="206"/>
      <c r="X209" s="718">
        <v>33</v>
      </c>
      <c r="Y209" s="737">
        <v>0.3</v>
      </c>
      <c r="Z209" s="199">
        <f>R209*Y209</f>
        <v>1823.9099999999999</v>
      </c>
      <c r="AA209" s="199">
        <f t="shared" ref="AA209:AA215" si="253">AH209</f>
        <v>96.390000000000327</v>
      </c>
      <c r="AB209" s="796">
        <f t="shared" ref="AB209:AB215" si="254">(R209+Z209)*S209+AA209</f>
        <v>8000</v>
      </c>
      <c r="AC209" s="738">
        <f t="shared" ref="AC209:AC215" si="255">AF209</f>
        <v>5500</v>
      </c>
      <c r="AD209" s="738">
        <f t="shared" ref="AD209:AD215" si="256">AB209+AC209</f>
        <v>13500</v>
      </c>
      <c r="AE209" s="202">
        <f t="shared" ref="AE209:AE215" si="257">13500*S209</f>
        <v>13500</v>
      </c>
      <c r="AF209" s="202">
        <f t="shared" ref="AF209:AF215" si="258">AE209-AB209</f>
        <v>5500</v>
      </c>
      <c r="AG209" s="738">
        <f>8000*S209</f>
        <v>8000</v>
      </c>
      <c r="AH209" s="202">
        <f t="shared" ref="AH209:AH215" si="259">AG209-(R209*S209)-Z209</f>
        <v>96.390000000000327</v>
      </c>
      <c r="AI209" s="203">
        <f t="shared" ref="AI209:AI215" si="260">G209*S209</f>
        <v>5527</v>
      </c>
      <c r="AJ209" s="203">
        <f t="shared" ref="AJ209:AJ215" si="261">G209*T209</f>
        <v>0</v>
      </c>
      <c r="AK209" s="203">
        <f t="shared" ref="AK209:AK215" si="262">R209*S209</f>
        <v>6079.7</v>
      </c>
      <c r="AL209" s="203">
        <f t="shared" ref="AL209:AL215" si="263">R209*T209</f>
        <v>0</v>
      </c>
      <c r="AM209" s="203">
        <f t="shared" ref="AM209:AN215" si="264">AK209-AI209</f>
        <v>552.69999999999982</v>
      </c>
      <c r="AN209" s="203">
        <f t="shared" si="264"/>
        <v>0</v>
      </c>
      <c r="AO209" s="205">
        <f t="shared" ref="AO209:AO215" si="265">Z209*S209</f>
        <v>1823.9099999999999</v>
      </c>
      <c r="AP209" s="205">
        <f t="shared" ref="AP209:AP215" si="266">Z209*T209</f>
        <v>0</v>
      </c>
      <c r="AQ209" s="205">
        <f t="shared" ref="AQ209:AQ215" si="267">AA209</f>
        <v>96.390000000000327</v>
      </c>
      <c r="AR209" s="205">
        <f t="shared" ref="AR209:AR215" si="268">W209*S209</f>
        <v>0</v>
      </c>
      <c r="AS209" s="205">
        <f t="shared" ref="AS209:AS215" si="269">W209*T209</f>
        <v>0</v>
      </c>
      <c r="AT209" s="209">
        <f t="shared" si="194"/>
        <v>6079.7</v>
      </c>
      <c r="AU209" s="209">
        <f t="shared" si="194"/>
        <v>0</v>
      </c>
      <c r="AV209" s="203"/>
      <c r="AW209" s="251">
        <f t="shared" ref="AW209:AW214" si="270">R209*S209</f>
        <v>6079.7</v>
      </c>
      <c r="AX209" s="251"/>
      <c r="AY209" s="661"/>
      <c r="AZ209" s="661"/>
      <c r="BA209" s="661"/>
    </row>
    <row r="210" spans="2:53" s="76" customFormat="1" ht="63">
      <c r="B210" s="703">
        <f t="shared" ref="B210:B272" si="271">1+B209</f>
        <v>146</v>
      </c>
      <c r="C210" s="197" t="s">
        <v>1098</v>
      </c>
      <c r="D210" s="198" t="s">
        <v>1361</v>
      </c>
      <c r="E210" s="703" t="s">
        <v>1125</v>
      </c>
      <c r="F210" s="703">
        <v>9</v>
      </c>
      <c r="G210" s="199">
        <v>5527</v>
      </c>
      <c r="H210" s="736"/>
      <c r="I210" s="199"/>
      <c r="J210" s="736"/>
      <c r="K210" s="199"/>
      <c r="L210" s="199"/>
      <c r="M210" s="736"/>
      <c r="N210" s="199"/>
      <c r="O210" s="736"/>
      <c r="P210" s="199"/>
      <c r="Q210" s="199"/>
      <c r="R210" s="199">
        <f t="shared" ref="R210:R215" si="272">G210+I210+K210+L210+N210+P210+Q210</f>
        <v>5527</v>
      </c>
      <c r="S210" s="199">
        <v>1</v>
      </c>
      <c r="T210" s="206"/>
      <c r="U210" s="206"/>
      <c r="V210" s="741"/>
      <c r="W210" s="206"/>
      <c r="X210" s="718">
        <v>19</v>
      </c>
      <c r="Y210" s="737">
        <v>0.2</v>
      </c>
      <c r="Z210" s="199">
        <f t="shared" ref="Z210:Z215" si="273">R210*Y210</f>
        <v>1105.4000000000001</v>
      </c>
      <c r="AA210" s="199">
        <f t="shared" si="253"/>
        <v>1367.6</v>
      </c>
      <c r="AB210" s="796">
        <f t="shared" si="254"/>
        <v>8000</v>
      </c>
      <c r="AC210" s="738">
        <f t="shared" si="255"/>
        <v>5500</v>
      </c>
      <c r="AD210" s="738">
        <f t="shared" si="256"/>
        <v>13500</v>
      </c>
      <c r="AE210" s="202">
        <f t="shared" si="257"/>
        <v>13500</v>
      </c>
      <c r="AF210" s="202">
        <f t="shared" si="258"/>
        <v>5500</v>
      </c>
      <c r="AG210" s="738">
        <f t="shared" ref="AG210:AG215" si="274">8000*S210</f>
        <v>8000</v>
      </c>
      <c r="AH210" s="202">
        <f t="shared" si="259"/>
        <v>1367.6</v>
      </c>
      <c r="AI210" s="203">
        <f t="shared" si="260"/>
        <v>5527</v>
      </c>
      <c r="AJ210" s="203">
        <f t="shared" si="261"/>
        <v>0</v>
      </c>
      <c r="AK210" s="203">
        <f t="shared" si="262"/>
        <v>5527</v>
      </c>
      <c r="AL210" s="203">
        <f t="shared" si="263"/>
        <v>0</v>
      </c>
      <c r="AM210" s="203">
        <f t="shared" si="264"/>
        <v>0</v>
      </c>
      <c r="AN210" s="203">
        <f t="shared" si="264"/>
        <v>0</v>
      </c>
      <c r="AO210" s="205">
        <f t="shared" si="265"/>
        <v>1105.4000000000001</v>
      </c>
      <c r="AP210" s="205">
        <f t="shared" si="266"/>
        <v>0</v>
      </c>
      <c r="AQ210" s="205">
        <f t="shared" si="267"/>
        <v>1367.6</v>
      </c>
      <c r="AR210" s="205">
        <f t="shared" si="268"/>
        <v>0</v>
      </c>
      <c r="AS210" s="205">
        <f t="shared" si="269"/>
        <v>0</v>
      </c>
      <c r="AT210" s="209">
        <f t="shared" si="194"/>
        <v>5527</v>
      </c>
      <c r="AU210" s="209">
        <f t="shared" si="194"/>
        <v>0</v>
      </c>
      <c r="AV210" s="203"/>
      <c r="AW210" s="251">
        <f t="shared" si="270"/>
        <v>5527</v>
      </c>
      <c r="AX210" s="251"/>
      <c r="AY210" s="661"/>
      <c r="AZ210" s="661"/>
      <c r="BA210" s="661"/>
    </row>
    <row r="211" spans="2:53" s="76" customFormat="1" ht="63">
      <c r="B211" s="703">
        <f t="shared" si="271"/>
        <v>147</v>
      </c>
      <c r="C211" s="197" t="s">
        <v>1064</v>
      </c>
      <c r="D211" s="198" t="s">
        <v>1126</v>
      </c>
      <c r="E211" s="206" t="s">
        <v>1127</v>
      </c>
      <c r="F211" s="703">
        <v>9</v>
      </c>
      <c r="G211" s="199">
        <v>5527</v>
      </c>
      <c r="H211" s="736"/>
      <c r="I211" s="199"/>
      <c r="J211" s="736"/>
      <c r="K211" s="199"/>
      <c r="L211" s="199"/>
      <c r="M211" s="736"/>
      <c r="N211" s="199"/>
      <c r="O211" s="736"/>
      <c r="P211" s="199"/>
      <c r="Q211" s="199"/>
      <c r="R211" s="199">
        <f t="shared" si="272"/>
        <v>5527</v>
      </c>
      <c r="S211" s="199">
        <v>1</v>
      </c>
      <c r="T211" s="199"/>
      <c r="U211" s="199"/>
      <c r="V211" s="736"/>
      <c r="W211" s="199"/>
      <c r="X211" s="718">
        <v>40</v>
      </c>
      <c r="Y211" s="737">
        <v>0.3</v>
      </c>
      <c r="Z211" s="199">
        <f t="shared" si="273"/>
        <v>1658.1</v>
      </c>
      <c r="AA211" s="199">
        <f t="shared" si="253"/>
        <v>814.90000000000009</v>
      </c>
      <c r="AB211" s="796">
        <f t="shared" si="254"/>
        <v>8000</v>
      </c>
      <c r="AC211" s="738">
        <f t="shared" si="255"/>
        <v>5500</v>
      </c>
      <c r="AD211" s="738">
        <f t="shared" si="256"/>
        <v>13500</v>
      </c>
      <c r="AE211" s="202">
        <f t="shared" si="257"/>
        <v>13500</v>
      </c>
      <c r="AF211" s="202">
        <f t="shared" si="258"/>
        <v>5500</v>
      </c>
      <c r="AG211" s="738">
        <f t="shared" si="274"/>
        <v>8000</v>
      </c>
      <c r="AH211" s="202">
        <f t="shared" si="259"/>
        <v>814.90000000000009</v>
      </c>
      <c r="AI211" s="203">
        <f t="shared" si="260"/>
        <v>5527</v>
      </c>
      <c r="AJ211" s="203">
        <f t="shared" si="261"/>
        <v>0</v>
      </c>
      <c r="AK211" s="203">
        <f t="shared" si="262"/>
        <v>5527</v>
      </c>
      <c r="AL211" s="203">
        <f t="shared" si="263"/>
        <v>0</v>
      </c>
      <c r="AM211" s="203">
        <f t="shared" si="264"/>
        <v>0</v>
      </c>
      <c r="AN211" s="203">
        <f t="shared" si="264"/>
        <v>0</v>
      </c>
      <c r="AO211" s="205">
        <f t="shared" si="265"/>
        <v>1658.1</v>
      </c>
      <c r="AP211" s="205">
        <f t="shared" si="266"/>
        <v>0</v>
      </c>
      <c r="AQ211" s="205">
        <f t="shared" si="267"/>
        <v>814.90000000000009</v>
      </c>
      <c r="AR211" s="205">
        <f t="shared" si="268"/>
        <v>0</v>
      </c>
      <c r="AS211" s="205">
        <f t="shared" si="269"/>
        <v>0</v>
      </c>
      <c r="AT211" s="209">
        <f t="shared" si="194"/>
        <v>5527</v>
      </c>
      <c r="AU211" s="209">
        <f t="shared" si="194"/>
        <v>0</v>
      </c>
      <c r="AV211" s="203"/>
      <c r="AW211" s="251">
        <f t="shared" si="270"/>
        <v>5527</v>
      </c>
      <c r="AX211" s="251"/>
      <c r="AY211" s="661"/>
      <c r="AZ211" s="661"/>
      <c r="BA211" s="661"/>
    </row>
    <row r="212" spans="2:53" s="76" customFormat="1" ht="63">
      <c r="B212" s="703">
        <f t="shared" si="271"/>
        <v>148</v>
      </c>
      <c r="C212" s="197" t="s">
        <v>1064</v>
      </c>
      <c r="D212" s="198" t="s">
        <v>1128</v>
      </c>
      <c r="E212" s="206" t="s">
        <v>1129</v>
      </c>
      <c r="F212" s="703">
        <v>9</v>
      </c>
      <c r="G212" s="199">
        <v>5527</v>
      </c>
      <c r="H212" s="736"/>
      <c r="I212" s="199"/>
      <c r="J212" s="736"/>
      <c r="K212" s="199"/>
      <c r="L212" s="199"/>
      <c r="M212" s="736"/>
      <c r="N212" s="199"/>
      <c r="O212" s="736"/>
      <c r="P212" s="199"/>
      <c r="Q212" s="199"/>
      <c r="R212" s="199">
        <f t="shared" si="272"/>
        <v>5527</v>
      </c>
      <c r="S212" s="199">
        <v>1</v>
      </c>
      <c r="T212" s="199"/>
      <c r="U212" s="199"/>
      <c r="V212" s="736"/>
      <c r="W212" s="199"/>
      <c r="X212" s="718">
        <v>37</v>
      </c>
      <c r="Y212" s="737">
        <v>0.3</v>
      </c>
      <c r="Z212" s="199">
        <f t="shared" si="273"/>
        <v>1658.1</v>
      </c>
      <c r="AA212" s="199">
        <f t="shared" si="253"/>
        <v>814.90000000000009</v>
      </c>
      <c r="AB212" s="796">
        <f t="shared" si="254"/>
        <v>8000</v>
      </c>
      <c r="AC212" s="738">
        <f t="shared" si="255"/>
        <v>5500</v>
      </c>
      <c r="AD212" s="738">
        <f t="shared" si="256"/>
        <v>13500</v>
      </c>
      <c r="AE212" s="202">
        <f t="shared" si="257"/>
        <v>13500</v>
      </c>
      <c r="AF212" s="202">
        <f t="shared" si="258"/>
        <v>5500</v>
      </c>
      <c r="AG212" s="738">
        <f t="shared" si="274"/>
        <v>8000</v>
      </c>
      <c r="AH212" s="202">
        <f t="shared" si="259"/>
        <v>814.90000000000009</v>
      </c>
      <c r="AI212" s="203">
        <f t="shared" si="260"/>
        <v>5527</v>
      </c>
      <c r="AJ212" s="203">
        <f t="shared" si="261"/>
        <v>0</v>
      </c>
      <c r="AK212" s="203">
        <f t="shared" si="262"/>
        <v>5527</v>
      </c>
      <c r="AL212" s="203">
        <f t="shared" si="263"/>
        <v>0</v>
      </c>
      <c r="AM212" s="203">
        <f t="shared" si="264"/>
        <v>0</v>
      </c>
      <c r="AN212" s="203">
        <f t="shared" si="264"/>
        <v>0</v>
      </c>
      <c r="AO212" s="205">
        <f t="shared" si="265"/>
        <v>1658.1</v>
      </c>
      <c r="AP212" s="205">
        <f t="shared" si="266"/>
        <v>0</v>
      </c>
      <c r="AQ212" s="205">
        <f t="shared" si="267"/>
        <v>814.90000000000009</v>
      </c>
      <c r="AR212" s="205">
        <f t="shared" si="268"/>
        <v>0</v>
      </c>
      <c r="AS212" s="205">
        <f t="shared" si="269"/>
        <v>0</v>
      </c>
      <c r="AT212" s="209">
        <f t="shared" si="194"/>
        <v>5527</v>
      </c>
      <c r="AU212" s="209">
        <f t="shared" si="194"/>
        <v>0</v>
      </c>
      <c r="AV212" s="203"/>
      <c r="AW212" s="251">
        <f t="shared" si="270"/>
        <v>5527</v>
      </c>
      <c r="AX212" s="251"/>
      <c r="AY212" s="661"/>
      <c r="AZ212" s="661"/>
      <c r="BA212" s="661"/>
    </row>
    <row r="213" spans="2:53" s="76" customFormat="1" ht="63">
      <c r="B213" s="703">
        <f t="shared" si="271"/>
        <v>149</v>
      </c>
      <c r="C213" s="197" t="s">
        <v>1064</v>
      </c>
      <c r="D213" s="198" t="s">
        <v>1102</v>
      </c>
      <c r="E213" s="206" t="s">
        <v>1130</v>
      </c>
      <c r="F213" s="703">
        <v>9</v>
      </c>
      <c r="G213" s="199">
        <v>5527</v>
      </c>
      <c r="H213" s="736"/>
      <c r="I213" s="199"/>
      <c r="J213" s="736"/>
      <c r="K213" s="199"/>
      <c r="L213" s="199"/>
      <c r="M213" s="736"/>
      <c r="N213" s="199"/>
      <c r="O213" s="736"/>
      <c r="P213" s="206"/>
      <c r="Q213" s="206"/>
      <c r="R213" s="199">
        <f t="shared" si="272"/>
        <v>5527</v>
      </c>
      <c r="S213" s="199">
        <v>1</v>
      </c>
      <c r="T213" s="199"/>
      <c r="U213" s="206"/>
      <c r="V213" s="741"/>
      <c r="W213" s="206"/>
      <c r="X213" s="718">
        <v>34</v>
      </c>
      <c r="Y213" s="737">
        <v>0.3</v>
      </c>
      <c r="Z213" s="199">
        <f t="shared" si="273"/>
        <v>1658.1</v>
      </c>
      <c r="AA213" s="199">
        <f t="shared" si="253"/>
        <v>814.90000000000009</v>
      </c>
      <c r="AB213" s="796">
        <f t="shared" si="254"/>
        <v>8000</v>
      </c>
      <c r="AC213" s="738">
        <f t="shared" si="255"/>
        <v>5500</v>
      </c>
      <c r="AD213" s="738">
        <f t="shared" si="256"/>
        <v>13500</v>
      </c>
      <c r="AE213" s="202">
        <f t="shared" si="257"/>
        <v>13500</v>
      </c>
      <c r="AF213" s="202">
        <f t="shared" si="258"/>
        <v>5500</v>
      </c>
      <c r="AG213" s="738">
        <f t="shared" si="274"/>
        <v>8000</v>
      </c>
      <c r="AH213" s="202">
        <f t="shared" si="259"/>
        <v>814.90000000000009</v>
      </c>
      <c r="AI213" s="203">
        <f t="shared" si="260"/>
        <v>5527</v>
      </c>
      <c r="AJ213" s="203">
        <f t="shared" si="261"/>
        <v>0</v>
      </c>
      <c r="AK213" s="203">
        <f t="shared" si="262"/>
        <v>5527</v>
      </c>
      <c r="AL213" s="203">
        <f t="shared" si="263"/>
        <v>0</v>
      </c>
      <c r="AM213" s="203">
        <f t="shared" si="264"/>
        <v>0</v>
      </c>
      <c r="AN213" s="203">
        <f t="shared" si="264"/>
        <v>0</v>
      </c>
      <c r="AO213" s="205">
        <f t="shared" si="265"/>
        <v>1658.1</v>
      </c>
      <c r="AP213" s="205">
        <f t="shared" si="266"/>
        <v>0</v>
      </c>
      <c r="AQ213" s="205">
        <f t="shared" si="267"/>
        <v>814.90000000000009</v>
      </c>
      <c r="AR213" s="205">
        <f t="shared" si="268"/>
        <v>0</v>
      </c>
      <c r="AS213" s="205">
        <f t="shared" si="269"/>
        <v>0</v>
      </c>
      <c r="AT213" s="209">
        <f t="shared" si="194"/>
        <v>5527</v>
      </c>
      <c r="AU213" s="209">
        <f t="shared" si="194"/>
        <v>0</v>
      </c>
      <c r="AV213" s="203"/>
      <c r="AW213" s="251">
        <f t="shared" si="270"/>
        <v>5527</v>
      </c>
      <c r="AX213" s="251"/>
      <c r="AY213" s="661"/>
      <c r="AZ213" s="661"/>
      <c r="BA213" s="661"/>
    </row>
    <row r="214" spans="2:53" s="76" customFormat="1" ht="63">
      <c r="B214" s="703">
        <f t="shared" si="271"/>
        <v>150</v>
      </c>
      <c r="C214" s="197" t="s">
        <v>1064</v>
      </c>
      <c r="D214" s="198" t="s">
        <v>1128</v>
      </c>
      <c r="E214" s="206" t="s">
        <v>1804</v>
      </c>
      <c r="F214" s="703">
        <v>9</v>
      </c>
      <c r="G214" s="199">
        <v>5527</v>
      </c>
      <c r="H214" s="736"/>
      <c r="I214" s="199"/>
      <c r="J214" s="737"/>
      <c r="K214" s="201"/>
      <c r="L214" s="201"/>
      <c r="M214" s="736"/>
      <c r="N214" s="199"/>
      <c r="O214" s="736"/>
      <c r="P214" s="206"/>
      <c r="Q214" s="206"/>
      <c r="R214" s="199">
        <f t="shared" si="272"/>
        <v>5527</v>
      </c>
      <c r="S214" s="199">
        <v>1</v>
      </c>
      <c r="T214" s="199"/>
      <c r="U214" s="206"/>
      <c r="V214" s="741"/>
      <c r="W214" s="206"/>
      <c r="X214" s="718">
        <v>32</v>
      </c>
      <c r="Y214" s="737">
        <v>0.3</v>
      </c>
      <c r="Z214" s="199">
        <f t="shared" si="273"/>
        <v>1658.1</v>
      </c>
      <c r="AA214" s="199">
        <f t="shared" si="253"/>
        <v>814.90000000000009</v>
      </c>
      <c r="AB214" s="796">
        <f t="shared" si="254"/>
        <v>8000</v>
      </c>
      <c r="AC214" s="738">
        <f t="shared" si="255"/>
        <v>5500</v>
      </c>
      <c r="AD214" s="738">
        <f t="shared" si="256"/>
        <v>13500</v>
      </c>
      <c r="AE214" s="202">
        <f t="shared" si="257"/>
        <v>13500</v>
      </c>
      <c r="AF214" s="202">
        <f t="shared" si="258"/>
        <v>5500</v>
      </c>
      <c r="AG214" s="738">
        <f t="shared" si="274"/>
        <v>8000</v>
      </c>
      <c r="AH214" s="202">
        <f t="shared" si="259"/>
        <v>814.90000000000009</v>
      </c>
      <c r="AI214" s="203">
        <f t="shared" si="260"/>
        <v>5527</v>
      </c>
      <c r="AJ214" s="203">
        <f t="shared" si="261"/>
        <v>0</v>
      </c>
      <c r="AK214" s="203">
        <f t="shared" si="262"/>
        <v>5527</v>
      </c>
      <c r="AL214" s="203">
        <f t="shared" si="263"/>
        <v>0</v>
      </c>
      <c r="AM214" s="203">
        <f t="shared" si="264"/>
        <v>0</v>
      </c>
      <c r="AN214" s="203">
        <f>AL214-AJ214</f>
        <v>0</v>
      </c>
      <c r="AO214" s="205">
        <f t="shared" si="265"/>
        <v>1658.1</v>
      </c>
      <c r="AP214" s="205">
        <f t="shared" si="266"/>
        <v>0</v>
      </c>
      <c r="AQ214" s="205">
        <f t="shared" si="267"/>
        <v>814.90000000000009</v>
      </c>
      <c r="AR214" s="205">
        <f t="shared" si="268"/>
        <v>0</v>
      </c>
      <c r="AS214" s="205">
        <f t="shared" si="269"/>
        <v>0</v>
      </c>
      <c r="AT214" s="209">
        <f t="shared" si="194"/>
        <v>5527</v>
      </c>
      <c r="AU214" s="209">
        <f t="shared" si="194"/>
        <v>0</v>
      </c>
      <c r="AV214" s="203"/>
      <c r="AW214" s="251">
        <f t="shared" si="270"/>
        <v>5527</v>
      </c>
      <c r="AX214" s="251"/>
      <c r="AY214" s="661"/>
      <c r="AZ214" s="661"/>
      <c r="BA214" s="661"/>
    </row>
    <row r="215" spans="2:53" s="76" customFormat="1" ht="63">
      <c r="B215" s="703">
        <f t="shared" si="271"/>
        <v>151</v>
      </c>
      <c r="C215" s="197" t="s">
        <v>1064</v>
      </c>
      <c r="D215" s="198" t="s">
        <v>1863</v>
      </c>
      <c r="E215" s="703" t="s">
        <v>1131</v>
      </c>
      <c r="F215" s="703">
        <v>9</v>
      </c>
      <c r="G215" s="199">
        <v>5527</v>
      </c>
      <c r="H215" s="736"/>
      <c r="I215" s="199"/>
      <c r="J215" s="736"/>
      <c r="K215" s="199"/>
      <c r="L215" s="199"/>
      <c r="M215" s="736"/>
      <c r="N215" s="199"/>
      <c r="O215" s="736"/>
      <c r="P215" s="199"/>
      <c r="Q215" s="199"/>
      <c r="R215" s="199">
        <f t="shared" si="272"/>
        <v>5527</v>
      </c>
      <c r="S215" s="199">
        <v>1</v>
      </c>
      <c r="T215" s="199"/>
      <c r="U215" s="199"/>
      <c r="V215" s="736"/>
      <c r="W215" s="199"/>
      <c r="X215" s="718">
        <v>30</v>
      </c>
      <c r="Y215" s="737">
        <v>0.3</v>
      </c>
      <c r="Z215" s="199">
        <f t="shared" si="273"/>
        <v>1658.1</v>
      </c>
      <c r="AA215" s="199">
        <f t="shared" si="253"/>
        <v>814.90000000000009</v>
      </c>
      <c r="AB215" s="796">
        <f t="shared" si="254"/>
        <v>8000</v>
      </c>
      <c r="AC215" s="738">
        <f t="shared" si="255"/>
        <v>5500</v>
      </c>
      <c r="AD215" s="738">
        <f t="shared" si="256"/>
        <v>13500</v>
      </c>
      <c r="AE215" s="202">
        <f t="shared" si="257"/>
        <v>13500</v>
      </c>
      <c r="AF215" s="202">
        <f t="shared" si="258"/>
        <v>5500</v>
      </c>
      <c r="AG215" s="738">
        <f t="shared" si="274"/>
        <v>8000</v>
      </c>
      <c r="AH215" s="202">
        <f t="shared" si="259"/>
        <v>814.90000000000009</v>
      </c>
      <c r="AI215" s="203">
        <f t="shared" si="260"/>
        <v>5527</v>
      </c>
      <c r="AJ215" s="203">
        <f t="shared" si="261"/>
        <v>0</v>
      </c>
      <c r="AK215" s="203">
        <f t="shared" si="262"/>
        <v>5527</v>
      </c>
      <c r="AL215" s="203">
        <f t="shared" si="263"/>
        <v>0</v>
      </c>
      <c r="AM215" s="203">
        <f t="shared" si="264"/>
        <v>0</v>
      </c>
      <c r="AN215" s="203">
        <f>AL215-AJ215</f>
        <v>0</v>
      </c>
      <c r="AO215" s="205">
        <f t="shared" si="265"/>
        <v>1658.1</v>
      </c>
      <c r="AP215" s="205">
        <f t="shared" si="266"/>
        <v>0</v>
      </c>
      <c r="AQ215" s="205">
        <f t="shared" si="267"/>
        <v>814.90000000000009</v>
      </c>
      <c r="AR215" s="205">
        <f t="shared" si="268"/>
        <v>0</v>
      </c>
      <c r="AS215" s="205">
        <f t="shared" si="269"/>
        <v>0</v>
      </c>
      <c r="AT215" s="209">
        <f t="shared" si="194"/>
        <v>5527</v>
      </c>
      <c r="AU215" s="209">
        <f t="shared" si="194"/>
        <v>0</v>
      </c>
      <c r="AV215" s="203"/>
      <c r="AW215" s="251">
        <f>R215*S215</f>
        <v>5527</v>
      </c>
      <c r="AX215" s="251"/>
      <c r="AY215" s="661"/>
      <c r="AZ215" s="661"/>
      <c r="BA215" s="661"/>
    </row>
    <row r="216" spans="2:53" s="76" customFormat="1" ht="31.5">
      <c r="B216" s="703"/>
      <c r="C216" s="180" t="s">
        <v>1736</v>
      </c>
      <c r="D216" s="207"/>
      <c r="E216" s="193"/>
      <c r="F216" s="193"/>
      <c r="G216" s="183">
        <f>SUM(G209:G215)</f>
        <v>38689</v>
      </c>
      <c r="H216" s="752"/>
      <c r="I216" s="183">
        <f>SUM(I209:I215)</f>
        <v>552.70000000000005</v>
      </c>
      <c r="J216" s="731"/>
      <c r="K216" s="193"/>
      <c r="L216" s="193"/>
      <c r="M216" s="731"/>
      <c r="N216" s="193"/>
      <c r="O216" s="731"/>
      <c r="P216" s="193"/>
      <c r="Q216" s="193"/>
      <c r="R216" s="183">
        <f>SUM(R209:R215)</f>
        <v>39241.699999999997</v>
      </c>
      <c r="S216" s="183">
        <f>SUM(S209:S215)</f>
        <v>7</v>
      </c>
      <c r="T216" s="183">
        <f>SUM(T209:T215)</f>
        <v>0</v>
      </c>
      <c r="U216" s="183"/>
      <c r="V216" s="742"/>
      <c r="W216" s="183"/>
      <c r="X216" s="742"/>
      <c r="Y216" s="742"/>
      <c r="Z216" s="183">
        <f t="shared" ref="Z216:AV216" si="275">SUM(Z209:Z215)</f>
        <v>11219.810000000001</v>
      </c>
      <c r="AA216" s="183">
        <f t="shared" si="275"/>
        <v>5538.49</v>
      </c>
      <c r="AB216" s="797">
        <f t="shared" si="275"/>
        <v>56000</v>
      </c>
      <c r="AC216" s="183">
        <f t="shared" si="275"/>
        <v>38500</v>
      </c>
      <c r="AD216" s="183">
        <f>SUM(AD209:AD215)</f>
        <v>94500</v>
      </c>
      <c r="AE216" s="183">
        <f t="shared" si="275"/>
        <v>94500</v>
      </c>
      <c r="AF216" s="183">
        <f t="shared" si="275"/>
        <v>38500</v>
      </c>
      <c r="AG216" s="183">
        <f t="shared" si="275"/>
        <v>56000</v>
      </c>
      <c r="AH216" s="183">
        <f t="shared" si="275"/>
        <v>5538.49</v>
      </c>
      <c r="AI216" s="183">
        <f t="shared" si="275"/>
        <v>38689</v>
      </c>
      <c r="AJ216" s="183">
        <f t="shared" si="275"/>
        <v>0</v>
      </c>
      <c r="AK216" s="183">
        <f t="shared" si="275"/>
        <v>39241.699999999997</v>
      </c>
      <c r="AL216" s="183">
        <f t="shared" si="275"/>
        <v>0</v>
      </c>
      <c r="AM216" s="183">
        <f t="shared" si="275"/>
        <v>552.69999999999982</v>
      </c>
      <c r="AN216" s="183">
        <f t="shared" si="275"/>
        <v>0</v>
      </c>
      <c r="AO216" s="183">
        <f t="shared" si="275"/>
        <v>11219.810000000001</v>
      </c>
      <c r="AP216" s="183">
        <f t="shared" si="275"/>
        <v>0</v>
      </c>
      <c r="AQ216" s="183">
        <f t="shared" si="275"/>
        <v>5538.49</v>
      </c>
      <c r="AR216" s="183">
        <f t="shared" si="275"/>
        <v>0</v>
      </c>
      <c r="AS216" s="183">
        <f t="shared" si="275"/>
        <v>0</v>
      </c>
      <c r="AT216" s="183">
        <f t="shared" si="275"/>
        <v>39241.699999999997</v>
      </c>
      <c r="AU216" s="183">
        <f t="shared" si="275"/>
        <v>0</v>
      </c>
      <c r="AV216" s="183">
        <f t="shared" si="275"/>
        <v>0</v>
      </c>
      <c r="AW216" s="183">
        <f>SUM(AW209:AW215)</f>
        <v>39241.699999999997</v>
      </c>
      <c r="AX216" s="183">
        <f>SUM(AX209:AX215)</f>
        <v>0</v>
      </c>
      <c r="AY216" s="661"/>
      <c r="AZ216" s="661"/>
      <c r="BA216" s="661"/>
    </row>
    <row r="217" spans="2:53" s="76" customFormat="1" ht="33">
      <c r="B217" s="703"/>
      <c r="C217" s="220" t="s">
        <v>1874</v>
      </c>
      <c r="D217" s="207"/>
      <c r="E217" s="193"/>
      <c r="F217" s="193"/>
      <c r="G217" s="183"/>
      <c r="H217" s="752"/>
      <c r="I217" s="183"/>
      <c r="J217" s="731"/>
      <c r="K217" s="193"/>
      <c r="L217" s="193"/>
      <c r="M217" s="731"/>
      <c r="N217" s="193"/>
      <c r="O217" s="731"/>
      <c r="P217" s="193"/>
      <c r="Q217" s="193"/>
      <c r="R217" s="183"/>
      <c r="S217" s="183"/>
      <c r="T217" s="183"/>
      <c r="U217" s="183"/>
      <c r="V217" s="742"/>
      <c r="W217" s="183"/>
      <c r="X217" s="742"/>
      <c r="Y217" s="742"/>
      <c r="Z217" s="183"/>
      <c r="AA217" s="183"/>
      <c r="AB217" s="797"/>
      <c r="AC217" s="208"/>
      <c r="AD217" s="208"/>
      <c r="AE217" s="208"/>
      <c r="AF217" s="208"/>
      <c r="AG217" s="208"/>
      <c r="AH217" s="208"/>
      <c r="AI217" s="203"/>
      <c r="AJ217" s="203"/>
      <c r="AK217" s="203"/>
      <c r="AL217" s="203"/>
      <c r="AM217" s="203"/>
      <c r="AN217" s="203"/>
      <c r="AO217" s="205"/>
      <c r="AP217" s="205"/>
      <c r="AQ217" s="205"/>
      <c r="AR217" s="205"/>
      <c r="AS217" s="205"/>
      <c r="AT217" s="209"/>
      <c r="AU217" s="209"/>
      <c r="AV217" s="203"/>
      <c r="AW217" s="251"/>
      <c r="AX217" s="251"/>
      <c r="AY217" s="661"/>
      <c r="AZ217" s="661"/>
      <c r="BA217" s="661"/>
    </row>
    <row r="218" spans="2:53" s="76" customFormat="1" ht="94.5">
      <c r="B218" s="703">
        <f>B215+1</f>
        <v>152</v>
      </c>
      <c r="C218" s="197" t="s">
        <v>1188</v>
      </c>
      <c r="D218" s="198"/>
      <c r="E218" s="206" t="s">
        <v>1741</v>
      </c>
      <c r="F218" s="703">
        <v>3</v>
      </c>
      <c r="G218" s="199">
        <v>3770</v>
      </c>
      <c r="H218" s="736"/>
      <c r="I218" s="199"/>
      <c r="J218" s="736"/>
      <c r="K218" s="199"/>
      <c r="L218" s="199"/>
      <c r="M218" s="736"/>
      <c r="N218" s="199"/>
      <c r="O218" s="736"/>
      <c r="P218" s="199"/>
      <c r="Q218" s="199"/>
      <c r="R218" s="199">
        <f>G218+I218+K218+L218+N218+P218+Q218</f>
        <v>3770</v>
      </c>
      <c r="S218" s="199">
        <v>1</v>
      </c>
      <c r="T218" s="206"/>
      <c r="U218" s="206"/>
      <c r="V218" s="737">
        <v>0.1</v>
      </c>
      <c r="W218" s="199">
        <f>R218*V218</f>
        <v>377</v>
      </c>
      <c r="X218" s="718"/>
      <c r="Y218" s="737"/>
      <c r="Z218" s="199"/>
      <c r="AA218" s="199">
        <f>AH218</f>
        <v>4230</v>
      </c>
      <c r="AB218" s="796">
        <f>(R218+Z218+U218+W218)*S218+AA218</f>
        <v>8377</v>
      </c>
      <c r="AC218" s="738">
        <f>AF218</f>
        <v>0</v>
      </c>
      <c r="AD218" s="738">
        <f>AB218+AC218</f>
        <v>8377</v>
      </c>
      <c r="AE218" s="202">
        <f>AB218</f>
        <v>8377</v>
      </c>
      <c r="AF218" s="202">
        <f>AE218-AB218</f>
        <v>0</v>
      </c>
      <c r="AG218" s="738">
        <f>8000*S218</f>
        <v>8000</v>
      </c>
      <c r="AH218" s="202">
        <f>AG218-(R218*S218)</f>
        <v>4230</v>
      </c>
      <c r="AI218" s="203">
        <f>G218*S218</f>
        <v>3770</v>
      </c>
      <c r="AJ218" s="203">
        <f>G218*T218</f>
        <v>0</v>
      </c>
      <c r="AK218" s="203">
        <f>R218*S218</f>
        <v>3770</v>
      </c>
      <c r="AL218" s="203">
        <f>R218*T218</f>
        <v>0</v>
      </c>
      <c r="AM218" s="203">
        <f t="shared" ref="AM218:AN222" si="276">AK218-AI218</f>
        <v>0</v>
      </c>
      <c r="AN218" s="203">
        <f t="shared" si="276"/>
        <v>0</v>
      </c>
      <c r="AO218" s="205">
        <f>Z218*S218</f>
        <v>0</v>
      </c>
      <c r="AP218" s="205">
        <f>Z218*T218</f>
        <v>0</v>
      </c>
      <c r="AQ218" s="205">
        <f>AA218</f>
        <v>4230</v>
      </c>
      <c r="AR218" s="205">
        <f>W218*S218</f>
        <v>377</v>
      </c>
      <c r="AS218" s="205">
        <f>W218*T218</f>
        <v>0</v>
      </c>
      <c r="AT218" s="209">
        <f t="shared" ref="AT218:AU280" si="277">AK218</f>
        <v>3770</v>
      </c>
      <c r="AU218" s="209">
        <f t="shared" si="277"/>
        <v>0</v>
      </c>
      <c r="AV218" s="203"/>
      <c r="AW218" s="251">
        <f>R218*S218</f>
        <v>3770</v>
      </c>
      <c r="AX218" s="251"/>
      <c r="AY218" s="661"/>
      <c r="AZ218" s="661"/>
      <c r="BA218" s="661"/>
    </row>
    <row r="219" spans="2:53" s="76" customFormat="1" ht="94.5">
      <c r="B219" s="703">
        <f t="shared" si="271"/>
        <v>153</v>
      </c>
      <c r="C219" s="197" t="s">
        <v>1188</v>
      </c>
      <c r="D219" s="198"/>
      <c r="E219" s="206" t="s">
        <v>1204</v>
      </c>
      <c r="F219" s="703">
        <v>3</v>
      </c>
      <c r="G219" s="199">
        <v>3770</v>
      </c>
      <c r="H219" s="736"/>
      <c r="I219" s="199"/>
      <c r="J219" s="736"/>
      <c r="K219" s="199"/>
      <c r="L219" s="199"/>
      <c r="M219" s="736"/>
      <c r="N219" s="199"/>
      <c r="O219" s="736"/>
      <c r="P219" s="199"/>
      <c r="Q219" s="199"/>
      <c r="R219" s="199">
        <f>G219+I219+K219+L219+N219+P219+Q219</f>
        <v>3770</v>
      </c>
      <c r="S219" s="199">
        <v>1</v>
      </c>
      <c r="T219" s="199"/>
      <c r="U219" s="199"/>
      <c r="V219" s="737">
        <v>0.1</v>
      </c>
      <c r="W219" s="199">
        <f>R219*V219</f>
        <v>377</v>
      </c>
      <c r="X219" s="718"/>
      <c r="Y219" s="737"/>
      <c r="Z219" s="199"/>
      <c r="AA219" s="199">
        <f>AH219</f>
        <v>4230</v>
      </c>
      <c r="AB219" s="796">
        <f>(R219+Z219+U219+W219)*S219+AA219</f>
        <v>8377</v>
      </c>
      <c r="AC219" s="738">
        <f>AF219</f>
        <v>0</v>
      </c>
      <c r="AD219" s="738">
        <f>AB219+AC219</f>
        <v>8377</v>
      </c>
      <c r="AE219" s="202">
        <f>AB219</f>
        <v>8377</v>
      </c>
      <c r="AF219" s="202">
        <f>AE219-AB219</f>
        <v>0</v>
      </c>
      <c r="AG219" s="738">
        <f>8000*S219</f>
        <v>8000</v>
      </c>
      <c r="AH219" s="202">
        <f>AG219-(R219*S219)</f>
        <v>4230</v>
      </c>
      <c r="AI219" s="203">
        <f>G219*S219</f>
        <v>3770</v>
      </c>
      <c r="AJ219" s="203">
        <f>G219*T219</f>
        <v>0</v>
      </c>
      <c r="AK219" s="203">
        <f>R219*S219</f>
        <v>3770</v>
      </c>
      <c r="AL219" s="203">
        <f>R219*T219</f>
        <v>0</v>
      </c>
      <c r="AM219" s="203">
        <f t="shared" si="276"/>
        <v>0</v>
      </c>
      <c r="AN219" s="203">
        <f t="shared" si="276"/>
        <v>0</v>
      </c>
      <c r="AO219" s="205">
        <f>Z219*S219</f>
        <v>0</v>
      </c>
      <c r="AP219" s="205">
        <f>Z219*T219</f>
        <v>0</v>
      </c>
      <c r="AQ219" s="205">
        <f>AA219</f>
        <v>4230</v>
      </c>
      <c r="AR219" s="205">
        <f>W219*S219</f>
        <v>377</v>
      </c>
      <c r="AS219" s="205">
        <f>W219*T219</f>
        <v>0</v>
      </c>
      <c r="AT219" s="209">
        <f t="shared" si="277"/>
        <v>3770</v>
      </c>
      <c r="AU219" s="209">
        <f t="shared" si="277"/>
        <v>0</v>
      </c>
      <c r="AV219" s="203"/>
      <c r="AW219" s="251">
        <f>R219*S219</f>
        <v>3770</v>
      </c>
      <c r="AX219" s="251"/>
      <c r="AY219" s="661"/>
      <c r="AZ219" s="661"/>
      <c r="BA219" s="661"/>
    </row>
    <row r="220" spans="2:53" s="76" customFormat="1" ht="94.5">
      <c r="B220" s="703">
        <f t="shared" si="271"/>
        <v>154</v>
      </c>
      <c r="C220" s="197" t="s">
        <v>1188</v>
      </c>
      <c r="D220" s="198"/>
      <c r="E220" s="703" t="s">
        <v>1816</v>
      </c>
      <c r="F220" s="703">
        <v>3</v>
      </c>
      <c r="G220" s="199">
        <v>3770</v>
      </c>
      <c r="H220" s="736"/>
      <c r="I220" s="199"/>
      <c r="J220" s="736"/>
      <c r="K220" s="199"/>
      <c r="L220" s="199"/>
      <c r="M220" s="736"/>
      <c r="N220" s="199"/>
      <c r="O220" s="736"/>
      <c r="P220" s="199"/>
      <c r="Q220" s="199"/>
      <c r="R220" s="199">
        <f>G220+I220+K220+L220+N220+P220+Q220</f>
        <v>3770</v>
      </c>
      <c r="S220" s="199">
        <v>1</v>
      </c>
      <c r="T220" s="199"/>
      <c r="U220" s="199"/>
      <c r="V220" s="737">
        <v>0.1</v>
      </c>
      <c r="W220" s="199">
        <f>R220*V220</f>
        <v>377</v>
      </c>
      <c r="X220" s="718"/>
      <c r="Y220" s="737"/>
      <c r="Z220" s="199"/>
      <c r="AA220" s="199">
        <f>AH220</f>
        <v>4230</v>
      </c>
      <c r="AB220" s="796">
        <f>(R220+Z220+U220+W220)*S220+AA220</f>
        <v>8377</v>
      </c>
      <c r="AC220" s="738">
        <f>AF220</f>
        <v>0</v>
      </c>
      <c r="AD220" s="738">
        <f>AB220+AC220</f>
        <v>8377</v>
      </c>
      <c r="AE220" s="202">
        <f>AB220</f>
        <v>8377</v>
      </c>
      <c r="AF220" s="202">
        <f>AE220-AB220</f>
        <v>0</v>
      </c>
      <c r="AG220" s="738">
        <f>8000*S220</f>
        <v>8000</v>
      </c>
      <c r="AH220" s="202">
        <f>AG220-(R220*S220)</f>
        <v>4230</v>
      </c>
      <c r="AI220" s="203">
        <f>G220*S220</f>
        <v>3770</v>
      </c>
      <c r="AJ220" s="203">
        <f>G220*T220</f>
        <v>0</v>
      </c>
      <c r="AK220" s="203">
        <f>R220*S220</f>
        <v>3770</v>
      </c>
      <c r="AL220" s="203">
        <f>R220*T220</f>
        <v>0</v>
      </c>
      <c r="AM220" s="203">
        <f t="shared" si="276"/>
        <v>0</v>
      </c>
      <c r="AN220" s="203">
        <f t="shared" si="276"/>
        <v>0</v>
      </c>
      <c r="AO220" s="205">
        <f>Z220*S220</f>
        <v>0</v>
      </c>
      <c r="AP220" s="205">
        <f>Z220*T220</f>
        <v>0</v>
      </c>
      <c r="AQ220" s="205">
        <f>AA220</f>
        <v>4230</v>
      </c>
      <c r="AR220" s="205">
        <f>W220*S220</f>
        <v>377</v>
      </c>
      <c r="AS220" s="205">
        <f>W220*T220</f>
        <v>0</v>
      </c>
      <c r="AT220" s="209">
        <f t="shared" si="277"/>
        <v>3770</v>
      </c>
      <c r="AU220" s="209">
        <f t="shared" si="277"/>
        <v>0</v>
      </c>
      <c r="AV220" s="203"/>
      <c r="AW220" s="251">
        <f>R220*S220</f>
        <v>3770</v>
      </c>
      <c r="AX220" s="251"/>
      <c r="AY220" s="661"/>
      <c r="AZ220" s="661"/>
      <c r="BA220" s="661"/>
    </row>
    <row r="221" spans="2:53" s="76" customFormat="1" ht="94.5">
      <c r="B221" s="703">
        <f t="shared" si="271"/>
        <v>155</v>
      </c>
      <c r="C221" s="197" t="s">
        <v>1188</v>
      </c>
      <c r="D221" s="198"/>
      <c r="E221" s="206" t="s">
        <v>1205</v>
      </c>
      <c r="F221" s="703">
        <v>3</v>
      </c>
      <c r="G221" s="199">
        <v>3770</v>
      </c>
      <c r="H221" s="736"/>
      <c r="I221" s="199"/>
      <c r="J221" s="736"/>
      <c r="K221" s="199"/>
      <c r="L221" s="199"/>
      <c r="M221" s="736"/>
      <c r="N221" s="199"/>
      <c r="O221" s="736"/>
      <c r="P221" s="199"/>
      <c r="Q221" s="199"/>
      <c r="R221" s="199">
        <f>G221+I221+K221+L221+N221+P221+Q221</f>
        <v>3770</v>
      </c>
      <c r="S221" s="199">
        <v>1</v>
      </c>
      <c r="T221" s="199"/>
      <c r="U221" s="199"/>
      <c r="V221" s="737">
        <v>0.1</v>
      </c>
      <c r="W221" s="199">
        <f>R221*V221</f>
        <v>377</v>
      </c>
      <c r="X221" s="718"/>
      <c r="Y221" s="737"/>
      <c r="Z221" s="199"/>
      <c r="AA221" s="199">
        <f>AH221</f>
        <v>4230</v>
      </c>
      <c r="AB221" s="796">
        <f>(R221+Z221+U221+W221)*S221+AA221</f>
        <v>8377</v>
      </c>
      <c r="AC221" s="738">
        <f>AF221</f>
        <v>0</v>
      </c>
      <c r="AD221" s="738">
        <f>AB221+AC221</f>
        <v>8377</v>
      </c>
      <c r="AE221" s="202">
        <f>AB221</f>
        <v>8377</v>
      </c>
      <c r="AF221" s="202">
        <f>AE221-AB221</f>
        <v>0</v>
      </c>
      <c r="AG221" s="738">
        <f>8000*S221</f>
        <v>8000</v>
      </c>
      <c r="AH221" s="202">
        <f>AG221-(R221*S221)</f>
        <v>4230</v>
      </c>
      <c r="AI221" s="203">
        <f>G221*S221</f>
        <v>3770</v>
      </c>
      <c r="AJ221" s="203">
        <f>G221*T221</f>
        <v>0</v>
      </c>
      <c r="AK221" s="203">
        <f>R221*S221</f>
        <v>3770</v>
      </c>
      <c r="AL221" s="203">
        <f>R221*T221</f>
        <v>0</v>
      </c>
      <c r="AM221" s="203">
        <f t="shared" si="276"/>
        <v>0</v>
      </c>
      <c r="AN221" s="203">
        <f t="shared" si="276"/>
        <v>0</v>
      </c>
      <c r="AO221" s="205">
        <f>Z221*S221</f>
        <v>0</v>
      </c>
      <c r="AP221" s="205">
        <f>Z221*T221</f>
        <v>0</v>
      </c>
      <c r="AQ221" s="205">
        <f>AA221</f>
        <v>4230</v>
      </c>
      <c r="AR221" s="205">
        <f>W221*S221</f>
        <v>377</v>
      </c>
      <c r="AS221" s="205">
        <f>W221*T221</f>
        <v>0</v>
      </c>
      <c r="AT221" s="209">
        <f t="shared" si="277"/>
        <v>3770</v>
      </c>
      <c r="AU221" s="209">
        <f t="shared" si="277"/>
        <v>0</v>
      </c>
      <c r="AV221" s="203"/>
      <c r="AW221" s="251">
        <f>R221*S221</f>
        <v>3770</v>
      </c>
      <c r="AX221" s="251"/>
      <c r="AY221" s="661"/>
      <c r="AZ221" s="661"/>
      <c r="BA221" s="661"/>
    </row>
    <row r="222" spans="2:53" s="76" customFormat="1" ht="94.5">
      <c r="B222" s="703">
        <f t="shared" si="271"/>
        <v>156</v>
      </c>
      <c r="C222" s="197" t="s">
        <v>1188</v>
      </c>
      <c r="D222" s="198"/>
      <c r="E222" s="206" t="s">
        <v>1817</v>
      </c>
      <c r="F222" s="703">
        <v>3</v>
      </c>
      <c r="G222" s="199">
        <v>3770</v>
      </c>
      <c r="H222" s="736"/>
      <c r="I222" s="199"/>
      <c r="J222" s="736"/>
      <c r="K222" s="199"/>
      <c r="L222" s="199"/>
      <c r="M222" s="736"/>
      <c r="N222" s="199"/>
      <c r="O222" s="736"/>
      <c r="P222" s="206"/>
      <c r="Q222" s="206"/>
      <c r="R222" s="199">
        <f>G222+I222+K222+L222+N222+P222+Q222</f>
        <v>3770</v>
      </c>
      <c r="S222" s="199">
        <v>1</v>
      </c>
      <c r="T222" s="199"/>
      <c r="U222" s="199"/>
      <c r="V222" s="737">
        <v>0.1</v>
      </c>
      <c r="W222" s="199">
        <f>R222*V222</f>
        <v>377</v>
      </c>
      <c r="X222" s="718"/>
      <c r="Y222" s="737"/>
      <c r="Z222" s="199"/>
      <c r="AA222" s="199">
        <f>AH222</f>
        <v>4230</v>
      </c>
      <c r="AB222" s="796">
        <f>(R222+Z222+U222+W222)*S222+AA222</f>
        <v>8377</v>
      </c>
      <c r="AC222" s="738">
        <f>AF222</f>
        <v>0</v>
      </c>
      <c r="AD222" s="738">
        <f>AB222+AC222</f>
        <v>8377</v>
      </c>
      <c r="AE222" s="202">
        <f>AB222</f>
        <v>8377</v>
      </c>
      <c r="AF222" s="202">
        <f>AE222-AB222</f>
        <v>0</v>
      </c>
      <c r="AG222" s="738">
        <f>8000*S222</f>
        <v>8000</v>
      </c>
      <c r="AH222" s="202">
        <f>AG222-(R222*S222)</f>
        <v>4230</v>
      </c>
      <c r="AI222" s="203">
        <f>G222*S222</f>
        <v>3770</v>
      </c>
      <c r="AJ222" s="203">
        <f>G222*T222</f>
        <v>0</v>
      </c>
      <c r="AK222" s="203">
        <f>R222*S222</f>
        <v>3770</v>
      </c>
      <c r="AL222" s="203">
        <f>R222*T222</f>
        <v>0</v>
      </c>
      <c r="AM222" s="203">
        <f t="shared" si="276"/>
        <v>0</v>
      </c>
      <c r="AN222" s="203">
        <f t="shared" si="276"/>
        <v>0</v>
      </c>
      <c r="AO222" s="205">
        <f>Z222*S222</f>
        <v>0</v>
      </c>
      <c r="AP222" s="205">
        <f>Z222*T222</f>
        <v>0</v>
      </c>
      <c r="AQ222" s="205">
        <f>AA222</f>
        <v>4230</v>
      </c>
      <c r="AR222" s="205">
        <f>W222*S222</f>
        <v>377</v>
      </c>
      <c r="AS222" s="205">
        <f>W222*T222</f>
        <v>0</v>
      </c>
      <c r="AT222" s="209">
        <f t="shared" si="277"/>
        <v>3770</v>
      </c>
      <c r="AU222" s="209">
        <f t="shared" si="277"/>
        <v>0</v>
      </c>
      <c r="AV222" s="203"/>
      <c r="AW222" s="251">
        <f>R222*S222</f>
        <v>3770</v>
      </c>
      <c r="AX222" s="251"/>
      <c r="AY222" s="661"/>
      <c r="AZ222" s="661"/>
      <c r="BA222" s="661"/>
    </row>
    <row r="223" spans="2:53" s="76" customFormat="1" ht="31.5">
      <c r="B223" s="703"/>
      <c r="C223" s="180" t="s">
        <v>1736</v>
      </c>
      <c r="D223" s="207"/>
      <c r="E223" s="193"/>
      <c r="F223" s="193"/>
      <c r="G223" s="183">
        <f>SUM(G218:G222)</f>
        <v>18850</v>
      </c>
      <c r="H223" s="731"/>
      <c r="I223" s="193"/>
      <c r="J223" s="731"/>
      <c r="K223" s="193"/>
      <c r="L223" s="193"/>
      <c r="M223" s="731"/>
      <c r="N223" s="193"/>
      <c r="O223" s="731"/>
      <c r="P223" s="193"/>
      <c r="Q223" s="193"/>
      <c r="R223" s="183">
        <f>SUM(R218:R222)</f>
        <v>18850</v>
      </c>
      <c r="S223" s="183">
        <f>SUM(S218:S222)</f>
        <v>5</v>
      </c>
      <c r="T223" s="183">
        <f>SUM(T218:T222)</f>
        <v>0</v>
      </c>
      <c r="U223" s="184"/>
      <c r="V223" s="742"/>
      <c r="W223" s="183">
        <f>SUM(W218:W222)</f>
        <v>1885</v>
      </c>
      <c r="X223" s="742"/>
      <c r="Y223" s="742"/>
      <c r="Z223" s="183"/>
      <c r="AA223" s="183">
        <f t="shared" ref="AA223:AV223" si="278">SUM(AA218:AA222)</f>
        <v>21150</v>
      </c>
      <c r="AB223" s="797">
        <f t="shared" si="278"/>
        <v>41885</v>
      </c>
      <c r="AC223" s="183">
        <f t="shared" si="278"/>
        <v>0</v>
      </c>
      <c r="AD223" s="183">
        <f>SUM(AD218:AD222)</f>
        <v>41885</v>
      </c>
      <c r="AE223" s="183">
        <f t="shared" si="278"/>
        <v>41885</v>
      </c>
      <c r="AF223" s="183">
        <f t="shared" si="278"/>
        <v>0</v>
      </c>
      <c r="AG223" s="183">
        <f>SUM(AG218:AG222)</f>
        <v>40000</v>
      </c>
      <c r="AH223" s="183">
        <f t="shared" si="278"/>
        <v>21150</v>
      </c>
      <c r="AI223" s="183">
        <f t="shared" si="278"/>
        <v>18850</v>
      </c>
      <c r="AJ223" s="183">
        <f t="shared" si="278"/>
        <v>0</v>
      </c>
      <c r="AK223" s="183">
        <f t="shared" si="278"/>
        <v>18850</v>
      </c>
      <c r="AL223" s="183">
        <f t="shared" si="278"/>
        <v>0</v>
      </c>
      <c r="AM223" s="183">
        <f t="shared" si="278"/>
        <v>0</v>
      </c>
      <c r="AN223" s="183">
        <f t="shared" si="278"/>
        <v>0</v>
      </c>
      <c r="AO223" s="183">
        <f t="shared" si="278"/>
        <v>0</v>
      </c>
      <c r="AP223" s="183">
        <f t="shared" si="278"/>
        <v>0</v>
      </c>
      <c r="AQ223" s="183">
        <f t="shared" si="278"/>
        <v>21150</v>
      </c>
      <c r="AR223" s="183">
        <f t="shared" si="278"/>
        <v>1885</v>
      </c>
      <c r="AS223" s="183">
        <f t="shared" si="278"/>
        <v>0</v>
      </c>
      <c r="AT223" s="183">
        <f t="shared" si="278"/>
        <v>18850</v>
      </c>
      <c r="AU223" s="183">
        <f t="shared" si="278"/>
        <v>0</v>
      </c>
      <c r="AV223" s="183">
        <f t="shared" si="278"/>
        <v>0</v>
      </c>
      <c r="AW223" s="183">
        <f>SUM(AW218:AW222)</f>
        <v>18850</v>
      </c>
      <c r="AX223" s="183">
        <f>SUM(AX218:AX222)</f>
        <v>0</v>
      </c>
      <c r="AY223" s="661"/>
      <c r="AZ223" s="661"/>
      <c r="BA223" s="661"/>
    </row>
    <row r="224" spans="2:53" s="76" customFormat="1" ht="31.5">
      <c r="B224" s="703"/>
      <c r="C224" s="180" t="s">
        <v>1278</v>
      </c>
      <c r="D224" s="207"/>
      <c r="E224" s="193"/>
      <c r="F224" s="193"/>
      <c r="G224" s="185">
        <f>G207+G216+G223</f>
        <v>71565</v>
      </c>
      <c r="H224" s="753"/>
      <c r="I224" s="185">
        <f t="shared" ref="I224:AV224" si="279">I207+I216+I223</f>
        <v>1278</v>
      </c>
      <c r="J224" s="753"/>
      <c r="K224" s="185"/>
      <c r="L224" s="185"/>
      <c r="M224" s="753"/>
      <c r="N224" s="185"/>
      <c r="O224" s="753"/>
      <c r="P224" s="185"/>
      <c r="Q224" s="185"/>
      <c r="R224" s="185">
        <f t="shared" si="279"/>
        <v>72843</v>
      </c>
      <c r="S224" s="183">
        <f t="shared" si="279"/>
        <v>14</v>
      </c>
      <c r="T224" s="183">
        <f t="shared" si="279"/>
        <v>0</v>
      </c>
      <c r="U224" s="185"/>
      <c r="V224" s="753"/>
      <c r="W224" s="185">
        <f t="shared" si="279"/>
        <v>1885</v>
      </c>
      <c r="X224" s="753"/>
      <c r="Y224" s="753"/>
      <c r="Z224" s="185">
        <f t="shared" si="279"/>
        <v>15645.2</v>
      </c>
      <c r="AA224" s="185">
        <f t="shared" si="279"/>
        <v>26688.489999999998</v>
      </c>
      <c r="AB224" s="801">
        <f t="shared" si="279"/>
        <v>117061.69</v>
      </c>
      <c r="AC224" s="185">
        <f t="shared" si="279"/>
        <v>59323.31</v>
      </c>
      <c r="AD224" s="185">
        <f>AD207+AD216+AD223</f>
        <v>176385</v>
      </c>
      <c r="AE224" s="185">
        <f t="shared" si="279"/>
        <v>176385</v>
      </c>
      <c r="AF224" s="185">
        <f t="shared" si="279"/>
        <v>59323.31</v>
      </c>
      <c r="AG224" s="185">
        <f>AG207+AG216+AG223</f>
        <v>112000</v>
      </c>
      <c r="AH224" s="185">
        <f t="shared" si="279"/>
        <v>23511.8</v>
      </c>
      <c r="AI224" s="185">
        <f t="shared" si="279"/>
        <v>71565</v>
      </c>
      <c r="AJ224" s="185">
        <f t="shared" si="279"/>
        <v>0</v>
      </c>
      <c r="AK224" s="185">
        <f t="shared" si="279"/>
        <v>72843</v>
      </c>
      <c r="AL224" s="185">
        <f t="shared" si="279"/>
        <v>0</v>
      </c>
      <c r="AM224" s="185">
        <f t="shared" si="279"/>
        <v>1278</v>
      </c>
      <c r="AN224" s="185">
        <f t="shared" si="279"/>
        <v>0</v>
      </c>
      <c r="AO224" s="185">
        <f t="shared" si="279"/>
        <v>15645.2</v>
      </c>
      <c r="AP224" s="185">
        <f t="shared" si="279"/>
        <v>0</v>
      </c>
      <c r="AQ224" s="185">
        <f t="shared" si="279"/>
        <v>26688.489999999998</v>
      </c>
      <c r="AR224" s="185">
        <f t="shared" si="279"/>
        <v>1885</v>
      </c>
      <c r="AS224" s="185">
        <f t="shared" si="279"/>
        <v>0</v>
      </c>
      <c r="AT224" s="185">
        <f t="shared" si="279"/>
        <v>72843</v>
      </c>
      <c r="AU224" s="185">
        <f t="shared" si="279"/>
        <v>0</v>
      </c>
      <c r="AV224" s="185">
        <f t="shared" si="279"/>
        <v>0</v>
      </c>
      <c r="AW224" s="185">
        <f>AW207+AW216+AW223</f>
        <v>72843</v>
      </c>
      <c r="AX224" s="185">
        <f>AX207+AX216+AX223</f>
        <v>0</v>
      </c>
      <c r="AY224" s="661"/>
      <c r="AZ224" s="661"/>
      <c r="BA224" s="661"/>
    </row>
    <row r="225" spans="2:53" s="76" customFormat="1" ht="33">
      <c r="B225" s="703"/>
      <c r="C225" s="191" t="s">
        <v>1772</v>
      </c>
      <c r="D225" s="192"/>
      <c r="E225" s="193"/>
      <c r="F225" s="193"/>
      <c r="G225" s="193"/>
      <c r="H225" s="731"/>
      <c r="I225" s="193"/>
      <c r="J225" s="731"/>
      <c r="K225" s="193"/>
      <c r="L225" s="193"/>
      <c r="M225" s="731"/>
      <c r="N225" s="193"/>
      <c r="O225" s="731"/>
      <c r="P225" s="193"/>
      <c r="Q225" s="193"/>
      <c r="R225" s="193"/>
      <c r="S225" s="193"/>
      <c r="T225" s="193"/>
      <c r="U225" s="193"/>
      <c r="V225" s="732"/>
      <c r="W225" s="193"/>
      <c r="X225" s="732"/>
      <c r="Y225" s="732"/>
      <c r="Z225" s="193"/>
      <c r="AA225" s="193"/>
      <c r="AB225" s="795"/>
      <c r="AC225" s="195"/>
      <c r="AD225" s="195"/>
      <c r="AE225" s="195"/>
      <c r="AF225" s="195"/>
      <c r="AG225" s="195"/>
      <c r="AH225" s="195"/>
      <c r="AI225" s="203">
        <f>G225*S225</f>
        <v>0</v>
      </c>
      <c r="AJ225" s="203">
        <f>G225*T225</f>
        <v>0</v>
      </c>
      <c r="AK225" s="203">
        <f>R225*S225</f>
        <v>0</v>
      </c>
      <c r="AL225" s="203">
        <f>R225*T225</f>
        <v>0</v>
      </c>
      <c r="AM225" s="203">
        <f t="shared" ref="AM225:AN228" si="280">AK225-AI225</f>
        <v>0</v>
      </c>
      <c r="AN225" s="203">
        <f t="shared" si="280"/>
        <v>0</v>
      </c>
      <c r="AO225" s="205">
        <f>Z225*S225</f>
        <v>0</v>
      </c>
      <c r="AP225" s="205">
        <f>Z225*T225</f>
        <v>0</v>
      </c>
      <c r="AQ225" s="205">
        <f>AA225</f>
        <v>0</v>
      </c>
      <c r="AR225" s="205">
        <f>W225*S225</f>
        <v>0</v>
      </c>
      <c r="AS225" s="205">
        <f>W225*T225</f>
        <v>0</v>
      </c>
      <c r="AT225" s="209">
        <f t="shared" si="277"/>
        <v>0</v>
      </c>
      <c r="AU225" s="209">
        <f t="shared" si="277"/>
        <v>0</v>
      </c>
      <c r="AV225" s="203"/>
      <c r="AW225" s="251"/>
      <c r="AX225" s="251"/>
      <c r="AY225" s="661"/>
      <c r="AZ225" s="661"/>
      <c r="BA225" s="661"/>
    </row>
    <row r="226" spans="2:53" s="76" customFormat="1" ht="33">
      <c r="B226" s="703"/>
      <c r="C226" s="220" t="s">
        <v>1382</v>
      </c>
      <c r="D226" s="217"/>
      <c r="E226" s="218"/>
      <c r="F226" s="218"/>
      <c r="G226" s="218"/>
      <c r="H226" s="745"/>
      <c r="I226" s="218"/>
      <c r="J226" s="745"/>
      <c r="K226" s="218"/>
      <c r="L226" s="218"/>
      <c r="M226" s="745"/>
      <c r="N226" s="218"/>
      <c r="O226" s="745"/>
      <c r="P226" s="218"/>
      <c r="Q226" s="218"/>
      <c r="R226" s="218"/>
      <c r="S226" s="218"/>
      <c r="T226" s="218"/>
      <c r="U226" s="218"/>
      <c r="V226" s="746"/>
      <c r="W226" s="218"/>
      <c r="X226" s="746"/>
      <c r="Y226" s="746"/>
      <c r="Z226" s="218"/>
      <c r="AA226" s="218"/>
      <c r="AB226" s="799"/>
      <c r="AC226" s="219"/>
      <c r="AD226" s="219"/>
      <c r="AE226" s="219"/>
      <c r="AF226" s="219"/>
      <c r="AG226" s="219"/>
      <c r="AH226" s="219"/>
      <c r="AI226" s="203">
        <f>G226*S226</f>
        <v>0</v>
      </c>
      <c r="AJ226" s="203">
        <f>G226*T226</f>
        <v>0</v>
      </c>
      <c r="AK226" s="203">
        <f>R226*S226</f>
        <v>0</v>
      </c>
      <c r="AL226" s="203">
        <f>R226*T226</f>
        <v>0</v>
      </c>
      <c r="AM226" s="203">
        <f t="shared" si="280"/>
        <v>0</v>
      </c>
      <c r="AN226" s="203">
        <f t="shared" si="280"/>
        <v>0</v>
      </c>
      <c r="AO226" s="205">
        <f>Z226*S226</f>
        <v>0</v>
      </c>
      <c r="AP226" s="205">
        <f>Z226*T226</f>
        <v>0</v>
      </c>
      <c r="AQ226" s="205">
        <f>AA226</f>
        <v>0</v>
      </c>
      <c r="AR226" s="205">
        <f>W226*S226</f>
        <v>0</v>
      </c>
      <c r="AS226" s="205">
        <f>W226*T226</f>
        <v>0</v>
      </c>
      <c r="AT226" s="209">
        <f t="shared" si="277"/>
        <v>0</v>
      </c>
      <c r="AU226" s="209">
        <f t="shared" si="277"/>
        <v>0</v>
      </c>
      <c r="AV226" s="203"/>
      <c r="AW226" s="251"/>
      <c r="AX226" s="251"/>
      <c r="AY226" s="661"/>
      <c r="AZ226" s="661"/>
      <c r="BA226" s="661"/>
    </row>
    <row r="227" spans="2:53" s="76" customFormat="1" ht="33">
      <c r="B227" s="703"/>
      <c r="C227" s="197"/>
      <c r="D227" s="198"/>
      <c r="E227" s="703"/>
      <c r="F227" s="703"/>
      <c r="G227" s="199"/>
      <c r="H227" s="718"/>
      <c r="I227" s="703"/>
      <c r="J227" s="718"/>
      <c r="K227" s="703"/>
      <c r="L227" s="703"/>
      <c r="M227" s="718"/>
      <c r="N227" s="703"/>
      <c r="O227" s="718"/>
      <c r="P227" s="703"/>
      <c r="Q227" s="703"/>
      <c r="R227" s="199">
        <f>G227+I227+K227+L227+N227+P227+Q227</f>
        <v>0</v>
      </c>
      <c r="S227" s="199"/>
      <c r="T227" s="703"/>
      <c r="U227" s="703"/>
      <c r="V227" s="718"/>
      <c r="W227" s="703"/>
      <c r="X227" s="718"/>
      <c r="Y227" s="737">
        <v>0</v>
      </c>
      <c r="Z227" s="199">
        <f>R227*Y227</f>
        <v>0</v>
      </c>
      <c r="AA227" s="199"/>
      <c r="AB227" s="796">
        <f>(R227+Z227)*S227+AA227</f>
        <v>0</v>
      </c>
      <c r="AC227" s="738">
        <f>AF227</f>
        <v>0</v>
      </c>
      <c r="AD227" s="738">
        <f>AB227+AC227</f>
        <v>0</v>
      </c>
      <c r="AE227" s="202">
        <f>20000*S227</f>
        <v>0</v>
      </c>
      <c r="AF227" s="202">
        <f>AE227-AB227</f>
        <v>0</v>
      </c>
      <c r="AG227" s="738">
        <f>7100*S227</f>
        <v>0</v>
      </c>
      <c r="AH227" s="202">
        <f>AG227-(R227*S227)</f>
        <v>0</v>
      </c>
      <c r="AI227" s="203">
        <f>G227*S227</f>
        <v>0</v>
      </c>
      <c r="AJ227" s="203">
        <f>G227*T227</f>
        <v>0</v>
      </c>
      <c r="AK227" s="203">
        <f>R227*S227</f>
        <v>0</v>
      </c>
      <c r="AL227" s="203">
        <f>R227*T227</f>
        <v>0</v>
      </c>
      <c r="AM227" s="203">
        <f t="shared" si="280"/>
        <v>0</v>
      </c>
      <c r="AN227" s="203">
        <f t="shared" si="280"/>
        <v>0</v>
      </c>
      <c r="AO227" s="205">
        <f>Z227*S227</f>
        <v>0</v>
      </c>
      <c r="AP227" s="205">
        <f>Z227*T227</f>
        <v>0</v>
      </c>
      <c r="AQ227" s="205">
        <f>AA227</f>
        <v>0</v>
      </c>
      <c r="AR227" s="205">
        <f>W227*S227</f>
        <v>0</v>
      </c>
      <c r="AS227" s="205">
        <f>W227*T227</f>
        <v>0</v>
      </c>
      <c r="AT227" s="209">
        <f t="shared" si="277"/>
        <v>0</v>
      </c>
      <c r="AU227" s="209">
        <f t="shared" si="277"/>
        <v>0</v>
      </c>
      <c r="AV227" s="203"/>
      <c r="AW227" s="251">
        <f>AT227+AU227-AV227</f>
        <v>0</v>
      </c>
      <c r="AX227" s="251"/>
      <c r="AY227" s="661"/>
      <c r="AZ227" s="661"/>
      <c r="BA227" s="661"/>
    </row>
    <row r="228" spans="2:53" s="76" customFormat="1" ht="58.5">
      <c r="B228" s="703">
        <f>1+B222</f>
        <v>157</v>
      </c>
      <c r="C228" s="197" t="s">
        <v>1026</v>
      </c>
      <c r="D228" s="198" t="s">
        <v>1773</v>
      </c>
      <c r="E228" s="703" t="s">
        <v>1774</v>
      </c>
      <c r="F228" s="703">
        <v>13</v>
      </c>
      <c r="G228" s="199">
        <v>7253</v>
      </c>
      <c r="H228" s="718"/>
      <c r="I228" s="703"/>
      <c r="J228" s="718"/>
      <c r="K228" s="703"/>
      <c r="L228" s="703"/>
      <c r="M228" s="718"/>
      <c r="N228" s="703"/>
      <c r="O228" s="718"/>
      <c r="P228" s="703"/>
      <c r="Q228" s="703"/>
      <c r="R228" s="199">
        <f>G228+I228+K228+L228+N228+P228+Q228</f>
        <v>7253</v>
      </c>
      <c r="S228" s="199"/>
      <c r="T228" s="703">
        <v>0.5</v>
      </c>
      <c r="U228" s="703"/>
      <c r="V228" s="718"/>
      <c r="W228" s="703"/>
      <c r="X228" s="718">
        <v>14</v>
      </c>
      <c r="Y228" s="737">
        <v>0.2</v>
      </c>
      <c r="Z228" s="199">
        <f>R228*Y228</f>
        <v>1450.6000000000001</v>
      </c>
      <c r="AA228" s="199"/>
      <c r="AB228" s="796">
        <f>(R228+Z228)*T228+AA228</f>
        <v>4351.8</v>
      </c>
      <c r="AC228" s="738">
        <f>AF228</f>
        <v>5648.2</v>
      </c>
      <c r="AD228" s="738">
        <f>AB228+AC228</f>
        <v>10000</v>
      </c>
      <c r="AE228" s="202">
        <f>20000*T228</f>
        <v>10000</v>
      </c>
      <c r="AF228" s="202">
        <f>AE228-AB228</f>
        <v>5648.2</v>
      </c>
      <c r="AG228" s="738">
        <f>8000*T228</f>
        <v>4000</v>
      </c>
      <c r="AH228" s="202">
        <f>AG228-AB228</f>
        <v>-351.80000000000018</v>
      </c>
      <c r="AI228" s="203">
        <f>G228*S228</f>
        <v>0</v>
      </c>
      <c r="AJ228" s="203">
        <f>G228*T228</f>
        <v>3626.5</v>
      </c>
      <c r="AK228" s="203">
        <f>R228*S228</f>
        <v>0</v>
      </c>
      <c r="AL228" s="203">
        <f>R228*T228</f>
        <v>3626.5</v>
      </c>
      <c r="AM228" s="203">
        <f t="shared" si="280"/>
        <v>0</v>
      </c>
      <c r="AN228" s="203">
        <f t="shared" si="280"/>
        <v>0</v>
      </c>
      <c r="AO228" s="205">
        <f>Z228*S228</f>
        <v>0</v>
      </c>
      <c r="AP228" s="205">
        <f>Z228*T228</f>
        <v>725.30000000000007</v>
      </c>
      <c r="AQ228" s="205">
        <f>AA228</f>
        <v>0</v>
      </c>
      <c r="AR228" s="205">
        <f>W228*S228</f>
        <v>0</v>
      </c>
      <c r="AS228" s="205">
        <f>W228*T228</f>
        <v>0</v>
      </c>
      <c r="AT228" s="209">
        <f t="shared" si="277"/>
        <v>0</v>
      </c>
      <c r="AU228" s="209">
        <f t="shared" si="277"/>
        <v>3626.5</v>
      </c>
      <c r="AV228" s="203"/>
      <c r="AW228" s="251">
        <f>R228*T228</f>
        <v>3626.5</v>
      </c>
      <c r="AX228" s="251"/>
      <c r="AY228" s="661"/>
      <c r="AZ228" s="661"/>
      <c r="BA228" s="661"/>
    </row>
    <row r="229" spans="2:53" s="76" customFormat="1" ht="31.5">
      <c r="B229" s="703"/>
      <c r="C229" s="180" t="s">
        <v>1736</v>
      </c>
      <c r="D229" s="207"/>
      <c r="E229" s="193"/>
      <c r="F229" s="193"/>
      <c r="G229" s="183">
        <f>SUM(G227:G228)</f>
        <v>7253</v>
      </c>
      <c r="H229" s="752"/>
      <c r="I229" s="183">
        <f>SUM(I227:I228)</f>
        <v>0</v>
      </c>
      <c r="J229" s="731"/>
      <c r="K229" s="193"/>
      <c r="L229" s="193"/>
      <c r="M229" s="731"/>
      <c r="N229" s="193"/>
      <c r="O229" s="731"/>
      <c r="P229" s="193"/>
      <c r="Q229" s="193"/>
      <c r="R229" s="183">
        <f>SUM(R227:R228)</f>
        <v>7253</v>
      </c>
      <c r="S229" s="183">
        <f>SUM(S227:S228)</f>
        <v>0</v>
      </c>
      <c r="T229" s="183">
        <f>SUM(T227:T228)</f>
        <v>0.5</v>
      </c>
      <c r="U229" s="183"/>
      <c r="V229" s="742"/>
      <c r="W229" s="183"/>
      <c r="X229" s="742"/>
      <c r="Y229" s="742"/>
      <c r="Z229" s="183">
        <f t="shared" ref="Z229:AV229" si="281">SUM(Z227:Z228)</f>
        <v>1450.6000000000001</v>
      </c>
      <c r="AA229" s="183">
        <f t="shared" si="281"/>
        <v>0</v>
      </c>
      <c r="AB229" s="797">
        <f t="shared" si="281"/>
        <v>4351.8</v>
      </c>
      <c r="AC229" s="183">
        <f t="shared" si="281"/>
        <v>5648.2</v>
      </c>
      <c r="AD229" s="183">
        <f>SUM(AD227:AD228)</f>
        <v>10000</v>
      </c>
      <c r="AE229" s="183">
        <f t="shared" si="281"/>
        <v>10000</v>
      </c>
      <c r="AF229" s="183">
        <f t="shared" si="281"/>
        <v>5648.2</v>
      </c>
      <c r="AG229" s="183">
        <f t="shared" si="281"/>
        <v>4000</v>
      </c>
      <c r="AH229" s="183">
        <f t="shared" si="281"/>
        <v>-351.80000000000018</v>
      </c>
      <c r="AI229" s="183">
        <f t="shared" si="281"/>
        <v>0</v>
      </c>
      <c r="AJ229" s="183">
        <f t="shared" si="281"/>
        <v>3626.5</v>
      </c>
      <c r="AK229" s="183">
        <f t="shared" si="281"/>
        <v>0</v>
      </c>
      <c r="AL229" s="183">
        <f t="shared" si="281"/>
        <v>3626.5</v>
      </c>
      <c r="AM229" s="183">
        <f t="shared" si="281"/>
        <v>0</v>
      </c>
      <c r="AN229" s="183">
        <f t="shared" si="281"/>
        <v>0</v>
      </c>
      <c r="AO229" s="183">
        <f t="shared" si="281"/>
        <v>0</v>
      </c>
      <c r="AP229" s="183">
        <f t="shared" si="281"/>
        <v>725.30000000000007</v>
      </c>
      <c r="AQ229" s="183">
        <f t="shared" si="281"/>
        <v>0</v>
      </c>
      <c r="AR229" s="183">
        <f t="shared" si="281"/>
        <v>0</v>
      </c>
      <c r="AS229" s="183">
        <f t="shared" si="281"/>
        <v>0</v>
      </c>
      <c r="AT229" s="183">
        <f t="shared" si="281"/>
        <v>0</v>
      </c>
      <c r="AU229" s="183">
        <f t="shared" si="281"/>
        <v>3626.5</v>
      </c>
      <c r="AV229" s="183">
        <f t="shared" si="281"/>
        <v>0</v>
      </c>
      <c r="AW229" s="183">
        <f>SUM(AW227:AW228)</f>
        <v>3626.5</v>
      </c>
      <c r="AX229" s="183">
        <f>SUM(AX227:AX228)</f>
        <v>0</v>
      </c>
      <c r="AY229" s="661"/>
      <c r="AZ229" s="661"/>
      <c r="BA229" s="661"/>
    </row>
    <row r="230" spans="2:53" s="76" customFormat="1" ht="33">
      <c r="B230" s="703"/>
      <c r="C230" s="220" t="s">
        <v>1581</v>
      </c>
      <c r="D230" s="192"/>
      <c r="E230" s="193"/>
      <c r="F230" s="193"/>
      <c r="G230" s="193"/>
      <c r="H230" s="731"/>
      <c r="I230" s="193"/>
      <c r="J230" s="731"/>
      <c r="K230" s="193"/>
      <c r="L230" s="193"/>
      <c r="M230" s="731"/>
      <c r="N230" s="193"/>
      <c r="O230" s="731"/>
      <c r="P230" s="193"/>
      <c r="Q230" s="193"/>
      <c r="R230" s="193"/>
      <c r="S230" s="193"/>
      <c r="T230" s="193"/>
      <c r="U230" s="193"/>
      <c r="V230" s="732"/>
      <c r="W230" s="193"/>
      <c r="X230" s="732"/>
      <c r="Y230" s="732"/>
      <c r="Z230" s="193"/>
      <c r="AA230" s="193"/>
      <c r="AB230" s="795"/>
      <c r="AC230" s="195"/>
      <c r="AD230" s="195"/>
      <c r="AE230" s="195"/>
      <c r="AF230" s="195"/>
      <c r="AG230" s="195"/>
      <c r="AH230" s="195"/>
      <c r="AI230" s="203"/>
      <c r="AJ230" s="203"/>
      <c r="AK230" s="203"/>
      <c r="AL230" s="203"/>
      <c r="AM230" s="203"/>
      <c r="AN230" s="203"/>
      <c r="AO230" s="205"/>
      <c r="AP230" s="205"/>
      <c r="AQ230" s="205"/>
      <c r="AR230" s="205"/>
      <c r="AS230" s="205"/>
      <c r="AT230" s="209"/>
      <c r="AU230" s="209"/>
      <c r="AV230" s="203"/>
      <c r="AW230" s="251"/>
      <c r="AX230" s="251"/>
      <c r="AY230" s="661"/>
      <c r="AZ230" s="661"/>
      <c r="BA230" s="661"/>
    </row>
    <row r="231" spans="2:53" s="76" customFormat="1" ht="63.75" customHeight="1">
      <c r="B231" s="703">
        <f>B228+1</f>
        <v>158</v>
      </c>
      <c r="C231" s="197" t="s">
        <v>1080</v>
      </c>
      <c r="D231" s="198" t="s">
        <v>1367</v>
      </c>
      <c r="E231" s="206" t="s">
        <v>1133</v>
      </c>
      <c r="F231" s="703">
        <v>9</v>
      </c>
      <c r="G231" s="199">
        <v>5527</v>
      </c>
      <c r="H231" s="737">
        <v>0.1</v>
      </c>
      <c r="I231" s="703">
        <f>G231*H231</f>
        <v>552.70000000000005</v>
      </c>
      <c r="J231" s="736"/>
      <c r="K231" s="199"/>
      <c r="L231" s="199"/>
      <c r="M231" s="736"/>
      <c r="N231" s="199"/>
      <c r="O231" s="736"/>
      <c r="P231" s="199"/>
      <c r="Q231" s="199"/>
      <c r="R231" s="199">
        <f t="shared" ref="R231:R236" si="282">G231+I231+K231+L231+N231+P231+Q231</f>
        <v>6079.7</v>
      </c>
      <c r="S231" s="199">
        <v>1</v>
      </c>
      <c r="T231" s="199"/>
      <c r="U231" s="199"/>
      <c r="V231" s="736"/>
      <c r="W231" s="199"/>
      <c r="X231" s="718">
        <v>16</v>
      </c>
      <c r="Y231" s="737">
        <v>0.2</v>
      </c>
      <c r="Z231" s="199">
        <f t="shared" ref="Z231:Z236" si="283">R231*Y231</f>
        <v>1215.94</v>
      </c>
      <c r="AA231" s="199">
        <f t="shared" ref="AA231:AA236" si="284">AH231</f>
        <v>704.36000000000013</v>
      </c>
      <c r="AB231" s="796">
        <f t="shared" ref="AB231:AB236" si="285">(R231+Z231)*S231+AA231</f>
        <v>8000</v>
      </c>
      <c r="AC231" s="738">
        <f t="shared" ref="AC231:AC236" si="286">AF231</f>
        <v>5500</v>
      </c>
      <c r="AD231" s="738">
        <f t="shared" ref="AD231:AD236" si="287">AB231+AC231</f>
        <v>13500</v>
      </c>
      <c r="AE231" s="202">
        <f t="shared" ref="AE231:AE236" si="288">13500*S231</f>
        <v>13500</v>
      </c>
      <c r="AF231" s="202">
        <f t="shared" ref="AF231:AF236" si="289">AE231-AB231</f>
        <v>5500</v>
      </c>
      <c r="AG231" s="738">
        <f t="shared" ref="AG231:AG236" si="290">8000*S231</f>
        <v>8000</v>
      </c>
      <c r="AH231" s="202">
        <f t="shared" ref="AH231:AH236" si="291">AG231-(R231*S231)-Z231</f>
        <v>704.36000000000013</v>
      </c>
      <c r="AI231" s="203">
        <f t="shared" ref="AI231:AI236" si="292">G231*S231</f>
        <v>5527</v>
      </c>
      <c r="AJ231" s="203">
        <f t="shared" ref="AJ231:AJ236" si="293">G231*T231</f>
        <v>0</v>
      </c>
      <c r="AK231" s="203">
        <f t="shared" ref="AK231:AK236" si="294">R231*S231</f>
        <v>6079.7</v>
      </c>
      <c r="AL231" s="203">
        <f t="shared" ref="AL231:AL236" si="295">R231*T231</f>
        <v>0</v>
      </c>
      <c r="AM231" s="203">
        <f t="shared" ref="AM231:AN236" si="296">AK231-AI231</f>
        <v>552.69999999999982</v>
      </c>
      <c r="AN231" s="203">
        <f t="shared" si="296"/>
        <v>0</v>
      </c>
      <c r="AO231" s="205">
        <f t="shared" ref="AO231:AO236" si="297">Z231*S231</f>
        <v>1215.94</v>
      </c>
      <c r="AP231" s="205">
        <f t="shared" ref="AP231:AP236" si="298">Z231*T231</f>
        <v>0</v>
      </c>
      <c r="AQ231" s="205">
        <f t="shared" ref="AQ231:AQ236" si="299">AA231</f>
        <v>704.36000000000013</v>
      </c>
      <c r="AR231" s="205">
        <f t="shared" ref="AR231:AR236" si="300">W231*S231</f>
        <v>0</v>
      </c>
      <c r="AS231" s="205">
        <f t="shared" ref="AS231:AS236" si="301">W231*T231</f>
        <v>0</v>
      </c>
      <c r="AT231" s="209">
        <f t="shared" si="277"/>
        <v>6079.7</v>
      </c>
      <c r="AU231" s="209">
        <f t="shared" si="277"/>
        <v>0</v>
      </c>
      <c r="AV231" s="203"/>
      <c r="AW231" s="251">
        <f t="shared" ref="AW231:AW236" si="302">R231*S231</f>
        <v>6079.7</v>
      </c>
      <c r="AX231" s="251"/>
      <c r="AY231" s="661"/>
      <c r="AZ231" s="661"/>
      <c r="BA231" s="661"/>
    </row>
    <row r="232" spans="2:53" s="76" customFormat="1" ht="63.75" customHeight="1">
      <c r="B232" s="703">
        <f t="shared" si="271"/>
        <v>159</v>
      </c>
      <c r="C232" s="197" t="s">
        <v>1132</v>
      </c>
      <c r="D232" s="198" t="s">
        <v>1864</v>
      </c>
      <c r="E232" s="703" t="s">
        <v>1134</v>
      </c>
      <c r="F232" s="703">
        <v>9</v>
      </c>
      <c r="G232" s="199">
        <v>5527</v>
      </c>
      <c r="H232" s="736"/>
      <c r="I232" s="199"/>
      <c r="J232" s="736"/>
      <c r="K232" s="199"/>
      <c r="L232" s="199"/>
      <c r="M232" s="736"/>
      <c r="N232" s="199"/>
      <c r="O232" s="736"/>
      <c r="P232" s="199"/>
      <c r="Q232" s="199"/>
      <c r="R232" s="199">
        <f t="shared" si="282"/>
        <v>5527</v>
      </c>
      <c r="S232" s="199">
        <f>0.5+0.5</f>
        <v>1</v>
      </c>
      <c r="T232" s="199"/>
      <c r="U232" s="199"/>
      <c r="V232" s="736"/>
      <c r="W232" s="199"/>
      <c r="X232" s="718">
        <v>36</v>
      </c>
      <c r="Y232" s="737">
        <v>0.3</v>
      </c>
      <c r="Z232" s="199">
        <f t="shared" si="283"/>
        <v>1658.1</v>
      </c>
      <c r="AA232" s="199">
        <f t="shared" si="284"/>
        <v>814.90000000000009</v>
      </c>
      <c r="AB232" s="796">
        <f t="shared" si="285"/>
        <v>8000</v>
      </c>
      <c r="AC232" s="738">
        <f t="shared" si="286"/>
        <v>5500</v>
      </c>
      <c r="AD232" s="738">
        <f t="shared" si="287"/>
        <v>13500</v>
      </c>
      <c r="AE232" s="202">
        <f t="shared" si="288"/>
        <v>13500</v>
      </c>
      <c r="AF232" s="202">
        <f t="shared" si="289"/>
        <v>5500</v>
      </c>
      <c r="AG232" s="738">
        <f t="shared" si="290"/>
        <v>8000</v>
      </c>
      <c r="AH232" s="202">
        <f t="shared" si="291"/>
        <v>814.90000000000009</v>
      </c>
      <c r="AI232" s="203">
        <f t="shared" si="292"/>
        <v>5527</v>
      </c>
      <c r="AJ232" s="203">
        <f t="shared" si="293"/>
        <v>0</v>
      </c>
      <c r="AK232" s="203">
        <f t="shared" si="294"/>
        <v>5527</v>
      </c>
      <c r="AL232" s="203">
        <f t="shared" si="295"/>
        <v>0</v>
      </c>
      <c r="AM232" s="203">
        <f t="shared" si="296"/>
        <v>0</v>
      </c>
      <c r="AN232" s="203">
        <f t="shared" si="296"/>
        <v>0</v>
      </c>
      <c r="AO232" s="205">
        <f t="shared" si="297"/>
        <v>1658.1</v>
      </c>
      <c r="AP232" s="205">
        <f t="shared" si="298"/>
        <v>0</v>
      </c>
      <c r="AQ232" s="205">
        <f t="shared" si="299"/>
        <v>814.90000000000009</v>
      </c>
      <c r="AR232" s="205">
        <f t="shared" si="300"/>
        <v>0</v>
      </c>
      <c r="AS232" s="205">
        <f t="shared" si="301"/>
        <v>0</v>
      </c>
      <c r="AT232" s="209">
        <f t="shared" si="277"/>
        <v>5527</v>
      </c>
      <c r="AU232" s="209">
        <f t="shared" si="277"/>
        <v>0</v>
      </c>
      <c r="AV232" s="203"/>
      <c r="AW232" s="251">
        <f t="shared" si="302"/>
        <v>5527</v>
      </c>
      <c r="AX232" s="251"/>
      <c r="AY232" s="661"/>
      <c r="AZ232" s="661"/>
      <c r="BA232" s="661"/>
    </row>
    <row r="233" spans="2:53" s="76" customFormat="1" ht="63.75" customHeight="1">
      <c r="B233" s="703">
        <f t="shared" si="271"/>
        <v>160</v>
      </c>
      <c r="C233" s="197" t="s">
        <v>1132</v>
      </c>
      <c r="D233" s="198" t="s">
        <v>182</v>
      </c>
      <c r="E233" s="703" t="s">
        <v>1093</v>
      </c>
      <c r="F233" s="703">
        <v>9</v>
      </c>
      <c r="G233" s="199">
        <v>5527</v>
      </c>
      <c r="H233" s="736"/>
      <c r="I233" s="199"/>
      <c r="J233" s="736"/>
      <c r="K233" s="199"/>
      <c r="L233" s="199"/>
      <c r="M233" s="736"/>
      <c r="N233" s="199"/>
      <c r="O233" s="736"/>
      <c r="P233" s="199"/>
      <c r="Q233" s="199"/>
      <c r="R233" s="199">
        <f t="shared" si="282"/>
        <v>5527</v>
      </c>
      <c r="S233" s="199">
        <v>1</v>
      </c>
      <c r="T233" s="199"/>
      <c r="U233" s="199"/>
      <c r="V233" s="736"/>
      <c r="W233" s="199"/>
      <c r="X233" s="718">
        <v>28</v>
      </c>
      <c r="Y233" s="737">
        <v>0.3</v>
      </c>
      <c r="Z233" s="199">
        <f t="shared" si="283"/>
        <v>1658.1</v>
      </c>
      <c r="AA233" s="199">
        <f t="shared" si="284"/>
        <v>814.90000000000009</v>
      </c>
      <c r="AB233" s="796">
        <f t="shared" si="285"/>
        <v>8000</v>
      </c>
      <c r="AC233" s="738">
        <f t="shared" si="286"/>
        <v>5500</v>
      </c>
      <c r="AD233" s="738">
        <f t="shared" si="287"/>
        <v>13500</v>
      </c>
      <c r="AE233" s="202">
        <f t="shared" si="288"/>
        <v>13500</v>
      </c>
      <c r="AF233" s="202">
        <f t="shared" si="289"/>
        <v>5500</v>
      </c>
      <c r="AG233" s="738">
        <f t="shared" si="290"/>
        <v>8000</v>
      </c>
      <c r="AH233" s="202">
        <f t="shared" si="291"/>
        <v>814.90000000000009</v>
      </c>
      <c r="AI233" s="203">
        <f t="shared" si="292"/>
        <v>5527</v>
      </c>
      <c r="AJ233" s="203">
        <f t="shared" si="293"/>
        <v>0</v>
      </c>
      <c r="AK233" s="203">
        <f t="shared" si="294"/>
        <v>5527</v>
      </c>
      <c r="AL233" s="203">
        <f t="shared" si="295"/>
        <v>0</v>
      </c>
      <c r="AM233" s="203">
        <f t="shared" si="296"/>
        <v>0</v>
      </c>
      <c r="AN233" s="203">
        <f t="shared" si="296"/>
        <v>0</v>
      </c>
      <c r="AO233" s="205">
        <f t="shared" si="297"/>
        <v>1658.1</v>
      </c>
      <c r="AP233" s="205">
        <f t="shared" si="298"/>
        <v>0</v>
      </c>
      <c r="AQ233" s="205">
        <f t="shared" si="299"/>
        <v>814.90000000000009</v>
      </c>
      <c r="AR233" s="205">
        <f t="shared" si="300"/>
        <v>0</v>
      </c>
      <c r="AS233" s="205">
        <f t="shared" si="301"/>
        <v>0</v>
      </c>
      <c r="AT233" s="209">
        <f t="shared" si="277"/>
        <v>5527</v>
      </c>
      <c r="AU233" s="209">
        <f t="shared" si="277"/>
        <v>0</v>
      </c>
      <c r="AV233" s="203"/>
      <c r="AW233" s="251">
        <f t="shared" si="302"/>
        <v>5527</v>
      </c>
      <c r="AX233" s="251"/>
      <c r="AY233" s="661"/>
      <c r="AZ233" s="661"/>
      <c r="BA233" s="661"/>
    </row>
    <row r="234" spans="2:53" s="76" customFormat="1" ht="63">
      <c r="B234" s="703">
        <f t="shared" si="271"/>
        <v>161</v>
      </c>
      <c r="C234" s="197" t="s">
        <v>1132</v>
      </c>
      <c r="D234" s="198" t="s">
        <v>1115</v>
      </c>
      <c r="E234" s="703" t="s">
        <v>1116</v>
      </c>
      <c r="F234" s="703">
        <v>9</v>
      </c>
      <c r="G234" s="199">
        <v>5527</v>
      </c>
      <c r="H234" s="736"/>
      <c r="I234" s="199"/>
      <c r="J234" s="736"/>
      <c r="K234" s="199"/>
      <c r="L234" s="199"/>
      <c r="M234" s="736"/>
      <c r="N234" s="199"/>
      <c r="O234" s="736"/>
      <c r="P234" s="206"/>
      <c r="Q234" s="206"/>
      <c r="R234" s="199">
        <f t="shared" si="282"/>
        <v>5527</v>
      </c>
      <c r="S234" s="199">
        <v>1</v>
      </c>
      <c r="T234" s="199"/>
      <c r="U234" s="206"/>
      <c r="V234" s="741"/>
      <c r="W234" s="206"/>
      <c r="X234" s="718">
        <v>17</v>
      </c>
      <c r="Y234" s="737">
        <v>0.2</v>
      </c>
      <c r="Z234" s="199">
        <f t="shared" si="283"/>
        <v>1105.4000000000001</v>
      </c>
      <c r="AA234" s="199">
        <f t="shared" si="284"/>
        <v>1367.6</v>
      </c>
      <c r="AB234" s="796">
        <f t="shared" si="285"/>
        <v>8000</v>
      </c>
      <c r="AC234" s="738">
        <f t="shared" si="286"/>
        <v>5500</v>
      </c>
      <c r="AD234" s="738">
        <f t="shared" si="287"/>
        <v>13500</v>
      </c>
      <c r="AE234" s="202">
        <f t="shared" si="288"/>
        <v>13500</v>
      </c>
      <c r="AF234" s="202">
        <f t="shared" si="289"/>
        <v>5500</v>
      </c>
      <c r="AG234" s="738">
        <f t="shared" si="290"/>
        <v>8000</v>
      </c>
      <c r="AH234" s="202">
        <f t="shared" si="291"/>
        <v>1367.6</v>
      </c>
      <c r="AI234" s="203">
        <f t="shared" si="292"/>
        <v>5527</v>
      </c>
      <c r="AJ234" s="203">
        <f t="shared" si="293"/>
        <v>0</v>
      </c>
      <c r="AK234" s="203">
        <f t="shared" si="294"/>
        <v>5527</v>
      </c>
      <c r="AL234" s="203">
        <f t="shared" si="295"/>
        <v>0</v>
      </c>
      <c r="AM234" s="203">
        <f t="shared" si="296"/>
        <v>0</v>
      </c>
      <c r="AN234" s="203">
        <f t="shared" si="296"/>
        <v>0</v>
      </c>
      <c r="AO234" s="205">
        <f t="shared" si="297"/>
        <v>1105.4000000000001</v>
      </c>
      <c r="AP234" s="205">
        <f t="shared" si="298"/>
        <v>0</v>
      </c>
      <c r="AQ234" s="205">
        <f t="shared" si="299"/>
        <v>1367.6</v>
      </c>
      <c r="AR234" s="205">
        <f t="shared" si="300"/>
        <v>0</v>
      </c>
      <c r="AS234" s="205">
        <f t="shared" si="301"/>
        <v>0</v>
      </c>
      <c r="AT234" s="209">
        <f t="shared" si="277"/>
        <v>5527</v>
      </c>
      <c r="AU234" s="209">
        <f t="shared" si="277"/>
        <v>0</v>
      </c>
      <c r="AV234" s="203"/>
      <c r="AW234" s="251">
        <f t="shared" si="302"/>
        <v>5527</v>
      </c>
      <c r="AX234" s="251"/>
      <c r="AY234" s="661"/>
      <c r="AZ234" s="661"/>
      <c r="BA234" s="661"/>
    </row>
    <row r="235" spans="2:53" s="76" customFormat="1" ht="77.25" customHeight="1">
      <c r="B235" s="703">
        <f t="shared" si="271"/>
        <v>162</v>
      </c>
      <c r="C235" s="197" t="s">
        <v>1132</v>
      </c>
      <c r="D235" s="198" t="s">
        <v>1862</v>
      </c>
      <c r="E235" s="703" t="s">
        <v>1138</v>
      </c>
      <c r="F235" s="703">
        <v>9</v>
      </c>
      <c r="G235" s="199">
        <v>5527</v>
      </c>
      <c r="H235" s="736"/>
      <c r="I235" s="199"/>
      <c r="J235" s="737"/>
      <c r="K235" s="201"/>
      <c r="L235" s="201"/>
      <c r="M235" s="736"/>
      <c r="N235" s="199"/>
      <c r="O235" s="736"/>
      <c r="P235" s="206"/>
      <c r="Q235" s="206"/>
      <c r="R235" s="199">
        <f t="shared" si="282"/>
        <v>5527</v>
      </c>
      <c r="S235" s="199">
        <v>1</v>
      </c>
      <c r="T235" s="199"/>
      <c r="U235" s="206"/>
      <c r="V235" s="741"/>
      <c r="W235" s="206"/>
      <c r="X235" s="718">
        <v>22</v>
      </c>
      <c r="Y235" s="737">
        <v>0.3</v>
      </c>
      <c r="Z235" s="199">
        <f t="shared" si="283"/>
        <v>1658.1</v>
      </c>
      <c r="AA235" s="199">
        <f t="shared" si="284"/>
        <v>814.90000000000009</v>
      </c>
      <c r="AB235" s="796">
        <f t="shared" si="285"/>
        <v>8000</v>
      </c>
      <c r="AC235" s="738">
        <f t="shared" si="286"/>
        <v>5500</v>
      </c>
      <c r="AD235" s="738">
        <f t="shared" si="287"/>
        <v>13500</v>
      </c>
      <c r="AE235" s="202">
        <f t="shared" si="288"/>
        <v>13500</v>
      </c>
      <c r="AF235" s="202">
        <f t="shared" si="289"/>
        <v>5500</v>
      </c>
      <c r="AG235" s="738">
        <f t="shared" si="290"/>
        <v>8000</v>
      </c>
      <c r="AH235" s="202">
        <f t="shared" si="291"/>
        <v>814.90000000000009</v>
      </c>
      <c r="AI235" s="203">
        <f t="shared" si="292"/>
        <v>5527</v>
      </c>
      <c r="AJ235" s="203">
        <f t="shared" si="293"/>
        <v>0</v>
      </c>
      <c r="AK235" s="203">
        <f t="shared" si="294"/>
        <v>5527</v>
      </c>
      <c r="AL235" s="203">
        <f t="shared" si="295"/>
        <v>0</v>
      </c>
      <c r="AM235" s="203">
        <f t="shared" si="296"/>
        <v>0</v>
      </c>
      <c r="AN235" s="203">
        <f>AL235-AJ235</f>
        <v>0</v>
      </c>
      <c r="AO235" s="205">
        <f t="shared" si="297"/>
        <v>1658.1</v>
      </c>
      <c r="AP235" s="205">
        <f t="shared" si="298"/>
        <v>0</v>
      </c>
      <c r="AQ235" s="205">
        <f t="shared" si="299"/>
        <v>814.90000000000009</v>
      </c>
      <c r="AR235" s="205">
        <f t="shared" si="300"/>
        <v>0</v>
      </c>
      <c r="AS235" s="205">
        <f t="shared" si="301"/>
        <v>0</v>
      </c>
      <c r="AT235" s="209">
        <f t="shared" si="277"/>
        <v>5527</v>
      </c>
      <c r="AU235" s="209">
        <f t="shared" si="277"/>
        <v>0</v>
      </c>
      <c r="AV235" s="203"/>
      <c r="AW235" s="251">
        <f t="shared" si="302"/>
        <v>5527</v>
      </c>
      <c r="AX235" s="251"/>
      <c r="AY235" s="661"/>
      <c r="AZ235" s="661"/>
      <c r="BA235" s="661"/>
    </row>
    <row r="236" spans="2:53" s="76" customFormat="1" ht="70.5" customHeight="1">
      <c r="B236" s="703">
        <f t="shared" si="271"/>
        <v>163</v>
      </c>
      <c r="C236" s="197" t="s">
        <v>1132</v>
      </c>
      <c r="D236" s="198" t="s">
        <v>1863</v>
      </c>
      <c r="E236" s="703" t="s">
        <v>1117</v>
      </c>
      <c r="F236" s="703">
        <v>9</v>
      </c>
      <c r="G236" s="199">
        <v>5527</v>
      </c>
      <c r="H236" s="736"/>
      <c r="I236" s="199"/>
      <c r="J236" s="737"/>
      <c r="K236" s="201"/>
      <c r="L236" s="201"/>
      <c r="M236" s="736"/>
      <c r="N236" s="199"/>
      <c r="O236" s="736"/>
      <c r="P236" s="206"/>
      <c r="Q236" s="206"/>
      <c r="R236" s="199">
        <f t="shared" si="282"/>
        <v>5527</v>
      </c>
      <c r="S236" s="199">
        <v>1</v>
      </c>
      <c r="T236" s="199"/>
      <c r="U236" s="206"/>
      <c r="V236" s="741"/>
      <c r="W236" s="206"/>
      <c r="X236" s="718">
        <v>36</v>
      </c>
      <c r="Y236" s="737">
        <v>0.3</v>
      </c>
      <c r="Z236" s="199">
        <f t="shared" si="283"/>
        <v>1658.1</v>
      </c>
      <c r="AA236" s="199">
        <f t="shared" si="284"/>
        <v>814.90000000000009</v>
      </c>
      <c r="AB236" s="796">
        <f t="shared" si="285"/>
        <v>8000</v>
      </c>
      <c r="AC236" s="738">
        <f t="shared" si="286"/>
        <v>5500</v>
      </c>
      <c r="AD236" s="738">
        <f t="shared" si="287"/>
        <v>13500</v>
      </c>
      <c r="AE236" s="202">
        <f t="shared" si="288"/>
        <v>13500</v>
      </c>
      <c r="AF236" s="202">
        <f t="shared" si="289"/>
        <v>5500</v>
      </c>
      <c r="AG236" s="738">
        <f t="shared" si="290"/>
        <v>8000</v>
      </c>
      <c r="AH236" s="202">
        <f t="shared" si="291"/>
        <v>814.90000000000009</v>
      </c>
      <c r="AI236" s="203">
        <f t="shared" si="292"/>
        <v>5527</v>
      </c>
      <c r="AJ236" s="203">
        <f t="shared" si="293"/>
        <v>0</v>
      </c>
      <c r="AK236" s="203">
        <f t="shared" si="294"/>
        <v>5527</v>
      </c>
      <c r="AL236" s="203">
        <f t="shared" si="295"/>
        <v>0</v>
      </c>
      <c r="AM236" s="203">
        <f t="shared" si="296"/>
        <v>0</v>
      </c>
      <c r="AN236" s="203">
        <f t="shared" si="296"/>
        <v>0</v>
      </c>
      <c r="AO236" s="205">
        <f t="shared" si="297"/>
        <v>1658.1</v>
      </c>
      <c r="AP236" s="205">
        <f t="shared" si="298"/>
        <v>0</v>
      </c>
      <c r="AQ236" s="205">
        <f t="shared" si="299"/>
        <v>814.90000000000009</v>
      </c>
      <c r="AR236" s="205">
        <f t="shared" si="300"/>
        <v>0</v>
      </c>
      <c r="AS236" s="205">
        <f t="shared" si="301"/>
        <v>0</v>
      </c>
      <c r="AT236" s="209">
        <f t="shared" si="277"/>
        <v>5527</v>
      </c>
      <c r="AU236" s="209">
        <f t="shared" si="277"/>
        <v>0</v>
      </c>
      <c r="AV236" s="203"/>
      <c r="AW236" s="251">
        <f t="shared" si="302"/>
        <v>5527</v>
      </c>
      <c r="AX236" s="251"/>
      <c r="AY236" s="661"/>
      <c r="AZ236" s="661"/>
      <c r="BA236" s="661"/>
    </row>
    <row r="237" spans="2:53" s="76" customFormat="1" ht="31.5">
      <c r="B237" s="703"/>
      <c r="C237" s="180" t="s">
        <v>1736</v>
      </c>
      <c r="D237" s="207"/>
      <c r="E237" s="193"/>
      <c r="F237" s="193"/>
      <c r="G237" s="183">
        <f>SUM(G231:G236)</f>
        <v>33162</v>
      </c>
      <c r="H237" s="752"/>
      <c r="I237" s="183">
        <f>SUM(I231:I236)</f>
        <v>552.70000000000005</v>
      </c>
      <c r="J237" s="731"/>
      <c r="K237" s="193"/>
      <c r="L237" s="193"/>
      <c r="M237" s="731"/>
      <c r="N237" s="193"/>
      <c r="O237" s="731"/>
      <c r="P237" s="193"/>
      <c r="Q237" s="193"/>
      <c r="R237" s="183">
        <f>SUM(R231:R236)</f>
        <v>33714.699999999997</v>
      </c>
      <c r="S237" s="183">
        <f>SUM(S231:S236)</f>
        <v>6</v>
      </c>
      <c r="T237" s="183">
        <f>SUM(T231:T236)</f>
        <v>0</v>
      </c>
      <c r="U237" s="183"/>
      <c r="V237" s="742"/>
      <c r="W237" s="183"/>
      <c r="X237" s="742"/>
      <c r="Y237" s="742"/>
      <c r="Z237" s="183">
        <f t="shared" ref="Z237:AV237" si="303">SUM(Z231:Z236)</f>
        <v>8953.74</v>
      </c>
      <c r="AA237" s="183">
        <f t="shared" si="303"/>
        <v>5331.5599999999995</v>
      </c>
      <c r="AB237" s="797">
        <f t="shared" si="303"/>
        <v>48000</v>
      </c>
      <c r="AC237" s="183">
        <f t="shared" si="303"/>
        <v>33000</v>
      </c>
      <c r="AD237" s="183">
        <f>SUM(AD231:AD236)</f>
        <v>81000</v>
      </c>
      <c r="AE237" s="183">
        <f t="shared" si="303"/>
        <v>81000</v>
      </c>
      <c r="AF237" s="183">
        <f t="shared" si="303"/>
        <v>33000</v>
      </c>
      <c r="AG237" s="183">
        <f t="shared" si="303"/>
        <v>48000</v>
      </c>
      <c r="AH237" s="183">
        <f t="shared" si="303"/>
        <v>5331.5599999999995</v>
      </c>
      <c r="AI237" s="183">
        <f t="shared" si="303"/>
        <v>33162</v>
      </c>
      <c r="AJ237" s="183">
        <f t="shared" si="303"/>
        <v>0</v>
      </c>
      <c r="AK237" s="183">
        <f t="shared" si="303"/>
        <v>33714.699999999997</v>
      </c>
      <c r="AL237" s="183">
        <f t="shared" si="303"/>
        <v>0</v>
      </c>
      <c r="AM237" s="183">
        <f t="shared" si="303"/>
        <v>552.69999999999982</v>
      </c>
      <c r="AN237" s="183">
        <f t="shared" si="303"/>
        <v>0</v>
      </c>
      <c r="AO237" s="183">
        <f t="shared" si="303"/>
        <v>8953.74</v>
      </c>
      <c r="AP237" s="183">
        <f t="shared" si="303"/>
        <v>0</v>
      </c>
      <c r="AQ237" s="183">
        <f t="shared" si="303"/>
        <v>5331.5599999999995</v>
      </c>
      <c r="AR237" s="183">
        <f t="shared" si="303"/>
        <v>0</v>
      </c>
      <c r="AS237" s="183">
        <f t="shared" si="303"/>
        <v>0</v>
      </c>
      <c r="AT237" s="183">
        <f t="shared" si="303"/>
        <v>33714.699999999997</v>
      </c>
      <c r="AU237" s="183">
        <f t="shared" si="303"/>
        <v>0</v>
      </c>
      <c r="AV237" s="183">
        <f t="shared" si="303"/>
        <v>0</v>
      </c>
      <c r="AW237" s="183">
        <f>SUM(AW231:AW236)</f>
        <v>33714.699999999997</v>
      </c>
      <c r="AX237" s="183">
        <f>SUM(AX231:AX236)</f>
        <v>0</v>
      </c>
      <c r="AY237" s="661"/>
      <c r="AZ237" s="661"/>
      <c r="BA237" s="661"/>
    </row>
    <row r="238" spans="2:53" s="76" customFormat="1" ht="33">
      <c r="B238" s="703"/>
      <c r="C238" s="220" t="s">
        <v>1874</v>
      </c>
      <c r="D238" s="207"/>
      <c r="E238" s="193"/>
      <c r="F238" s="193"/>
      <c r="G238" s="183"/>
      <c r="H238" s="752"/>
      <c r="I238" s="183"/>
      <c r="J238" s="731"/>
      <c r="K238" s="193"/>
      <c r="L238" s="193"/>
      <c r="M238" s="731"/>
      <c r="N238" s="193"/>
      <c r="O238" s="731"/>
      <c r="P238" s="193"/>
      <c r="Q238" s="193"/>
      <c r="R238" s="183"/>
      <c r="S238" s="183"/>
      <c r="T238" s="183"/>
      <c r="U238" s="183"/>
      <c r="V238" s="742"/>
      <c r="W238" s="183"/>
      <c r="X238" s="742"/>
      <c r="Y238" s="742"/>
      <c r="Z238" s="183"/>
      <c r="AA238" s="183"/>
      <c r="AB238" s="797"/>
      <c r="AC238" s="208"/>
      <c r="AD238" s="208"/>
      <c r="AE238" s="208"/>
      <c r="AF238" s="208"/>
      <c r="AG238" s="208"/>
      <c r="AH238" s="208"/>
      <c r="AI238" s="203"/>
      <c r="AJ238" s="203"/>
      <c r="AK238" s="203"/>
      <c r="AL238" s="203"/>
      <c r="AM238" s="203"/>
      <c r="AN238" s="203"/>
      <c r="AO238" s="205"/>
      <c r="AP238" s="205"/>
      <c r="AQ238" s="205"/>
      <c r="AR238" s="205"/>
      <c r="AS238" s="205"/>
      <c r="AT238" s="209"/>
      <c r="AU238" s="209"/>
      <c r="AV238" s="203"/>
      <c r="AW238" s="251"/>
      <c r="AX238" s="251"/>
      <c r="AY238" s="661"/>
      <c r="AZ238" s="661"/>
      <c r="BA238" s="661"/>
    </row>
    <row r="239" spans="2:53" s="76" customFormat="1" ht="94.5">
      <c r="B239" s="703">
        <f>B236+1</f>
        <v>164</v>
      </c>
      <c r="C239" s="197" t="s">
        <v>1188</v>
      </c>
      <c r="D239" s="198"/>
      <c r="E239" s="703" t="s">
        <v>183</v>
      </c>
      <c r="F239" s="703">
        <v>3</v>
      </c>
      <c r="G239" s="199">
        <v>3770</v>
      </c>
      <c r="H239" s="736"/>
      <c r="I239" s="199"/>
      <c r="J239" s="736"/>
      <c r="K239" s="199"/>
      <c r="L239" s="199"/>
      <c r="M239" s="736"/>
      <c r="N239" s="199"/>
      <c r="O239" s="736"/>
      <c r="P239" s="199"/>
      <c r="Q239" s="199"/>
      <c r="R239" s="199">
        <f>G239+I239+K239+L239+N239+P239+Q239</f>
        <v>3770</v>
      </c>
      <c r="S239" s="199">
        <v>1</v>
      </c>
      <c r="T239" s="199"/>
      <c r="U239" s="199"/>
      <c r="V239" s="737">
        <v>0.1</v>
      </c>
      <c r="W239" s="199">
        <f>R239*V239</f>
        <v>377</v>
      </c>
      <c r="X239" s="718"/>
      <c r="Y239" s="737"/>
      <c r="Z239" s="199"/>
      <c r="AA239" s="199">
        <f>AH239</f>
        <v>4230</v>
      </c>
      <c r="AB239" s="796">
        <f>(R239+Z239+U239+W239)*S239+AA239</f>
        <v>8377</v>
      </c>
      <c r="AC239" s="738">
        <f>AF239</f>
        <v>0</v>
      </c>
      <c r="AD239" s="738">
        <f>AB239+AC239</f>
        <v>8377</v>
      </c>
      <c r="AE239" s="202">
        <f>AB239</f>
        <v>8377</v>
      </c>
      <c r="AF239" s="202">
        <f>AE239-AB239</f>
        <v>0</v>
      </c>
      <c r="AG239" s="738">
        <f>8000*S239</f>
        <v>8000</v>
      </c>
      <c r="AH239" s="202">
        <f>AG239-(R239*S239)</f>
        <v>4230</v>
      </c>
      <c r="AI239" s="203">
        <f>G239*S239</f>
        <v>3770</v>
      </c>
      <c r="AJ239" s="203">
        <f>G239*T239</f>
        <v>0</v>
      </c>
      <c r="AK239" s="203">
        <f>R239*S239</f>
        <v>3770</v>
      </c>
      <c r="AL239" s="203">
        <f>R239*T239</f>
        <v>0</v>
      </c>
      <c r="AM239" s="203">
        <f>AK239-AI239</f>
        <v>0</v>
      </c>
      <c r="AN239" s="203">
        <f>AL239-AJ239</f>
        <v>0</v>
      </c>
      <c r="AO239" s="205">
        <f>Z239*S239</f>
        <v>0</v>
      </c>
      <c r="AP239" s="205">
        <f>Z239*T239</f>
        <v>0</v>
      </c>
      <c r="AQ239" s="205">
        <f>AA239</f>
        <v>4230</v>
      </c>
      <c r="AR239" s="205">
        <f>W239*S239</f>
        <v>377</v>
      </c>
      <c r="AS239" s="205">
        <f>W239*T239</f>
        <v>0</v>
      </c>
      <c r="AT239" s="209">
        <f t="shared" si="277"/>
        <v>3770</v>
      </c>
      <c r="AU239" s="209">
        <f t="shared" si="277"/>
        <v>0</v>
      </c>
      <c r="AV239" s="203"/>
      <c r="AW239" s="251">
        <f>R239*S239</f>
        <v>3770</v>
      </c>
      <c r="AX239" s="251"/>
      <c r="AY239" s="661"/>
      <c r="AZ239" s="661"/>
      <c r="BA239" s="661"/>
    </row>
    <row r="240" spans="2:53" s="76" customFormat="1" ht="94.5">
      <c r="B240" s="703">
        <f t="shared" si="271"/>
        <v>165</v>
      </c>
      <c r="C240" s="197" t="s">
        <v>1188</v>
      </c>
      <c r="D240" s="198"/>
      <c r="E240" s="703" t="s">
        <v>1206</v>
      </c>
      <c r="F240" s="703">
        <v>3</v>
      </c>
      <c r="G240" s="199">
        <v>3770</v>
      </c>
      <c r="H240" s="736"/>
      <c r="I240" s="199"/>
      <c r="J240" s="736"/>
      <c r="K240" s="199"/>
      <c r="L240" s="199"/>
      <c r="M240" s="736"/>
      <c r="N240" s="199"/>
      <c r="O240" s="736"/>
      <c r="P240" s="199"/>
      <c r="Q240" s="199"/>
      <c r="R240" s="199">
        <f>G240+I240+K240+L240+N240+P240+Q240</f>
        <v>3770</v>
      </c>
      <c r="S240" s="199">
        <v>1</v>
      </c>
      <c r="T240" s="199"/>
      <c r="U240" s="199"/>
      <c r="V240" s="737">
        <v>0.1</v>
      </c>
      <c r="W240" s="199">
        <f>R240*V240</f>
        <v>377</v>
      </c>
      <c r="X240" s="718"/>
      <c r="Y240" s="737"/>
      <c r="Z240" s="199"/>
      <c r="AA240" s="199">
        <f>AH240</f>
        <v>4230</v>
      </c>
      <c r="AB240" s="796">
        <f>(R240+Z240+U240+W240)*S240+AA240</f>
        <v>8377</v>
      </c>
      <c r="AC240" s="738">
        <f>AF240</f>
        <v>0</v>
      </c>
      <c r="AD240" s="738">
        <f>AB240+AC240</f>
        <v>8377</v>
      </c>
      <c r="AE240" s="202">
        <f>AB240</f>
        <v>8377</v>
      </c>
      <c r="AF240" s="202">
        <f>AE240-AB240</f>
        <v>0</v>
      </c>
      <c r="AG240" s="738">
        <f>8000*S240</f>
        <v>8000</v>
      </c>
      <c r="AH240" s="202">
        <f>AG240-(R240*S240)</f>
        <v>4230</v>
      </c>
      <c r="AI240" s="203">
        <f>G240*S240</f>
        <v>3770</v>
      </c>
      <c r="AJ240" s="203">
        <f>G240*T240</f>
        <v>0</v>
      </c>
      <c r="AK240" s="203">
        <f>R240*S240</f>
        <v>3770</v>
      </c>
      <c r="AL240" s="203">
        <f>R240*T240</f>
        <v>0</v>
      </c>
      <c r="AM240" s="203">
        <f>AK240-AI240</f>
        <v>0</v>
      </c>
      <c r="AN240" s="203">
        <f>AL240-AJ240</f>
        <v>0</v>
      </c>
      <c r="AO240" s="205">
        <f>Z240*S240</f>
        <v>0</v>
      </c>
      <c r="AP240" s="205">
        <f>Z240*T240</f>
        <v>0</v>
      </c>
      <c r="AQ240" s="205">
        <f>AA240</f>
        <v>4230</v>
      </c>
      <c r="AR240" s="205">
        <f>W240*S240</f>
        <v>377</v>
      </c>
      <c r="AS240" s="205">
        <f>W240*T240</f>
        <v>0</v>
      </c>
      <c r="AT240" s="209">
        <f t="shared" si="277"/>
        <v>3770</v>
      </c>
      <c r="AU240" s="209">
        <f t="shared" si="277"/>
        <v>0</v>
      </c>
      <c r="AV240" s="203"/>
      <c r="AW240" s="251">
        <f>R240*S240</f>
        <v>3770</v>
      </c>
      <c r="AX240" s="251"/>
      <c r="AY240" s="661"/>
      <c r="AZ240" s="661"/>
      <c r="BA240" s="661"/>
    </row>
    <row r="241" spans="2:54" s="76" customFormat="1" ht="31.5">
      <c r="B241" s="703"/>
      <c r="C241" s="180" t="s">
        <v>1736</v>
      </c>
      <c r="D241" s="207"/>
      <c r="E241" s="193"/>
      <c r="F241" s="193"/>
      <c r="G241" s="183">
        <f>SUM(G239:G240)</f>
        <v>7540</v>
      </c>
      <c r="H241" s="731"/>
      <c r="I241" s="193"/>
      <c r="J241" s="731"/>
      <c r="K241" s="193"/>
      <c r="L241" s="193"/>
      <c r="M241" s="731"/>
      <c r="N241" s="193"/>
      <c r="O241" s="731"/>
      <c r="P241" s="193"/>
      <c r="Q241" s="193"/>
      <c r="R241" s="183">
        <f>SUM(R239:R240)</f>
        <v>7540</v>
      </c>
      <c r="S241" s="183">
        <f>SUM(S239:S240)</f>
        <v>2</v>
      </c>
      <c r="T241" s="183">
        <f>SUM(T239:T240)</f>
        <v>0</v>
      </c>
      <c r="U241" s="184"/>
      <c r="V241" s="742"/>
      <c r="W241" s="183">
        <f>SUM(W239:W240)</f>
        <v>754</v>
      </c>
      <c r="X241" s="742"/>
      <c r="Y241" s="742"/>
      <c r="Z241" s="183"/>
      <c r="AA241" s="183">
        <f>SUM(AA239:AA240)</f>
        <v>8460</v>
      </c>
      <c r="AB241" s="797">
        <f>SUM(AB239:AB240)</f>
        <v>16754</v>
      </c>
      <c r="AC241" s="183">
        <f t="shared" ref="AC241:AV241" si="304">SUM(AC239:AC240)</f>
        <v>0</v>
      </c>
      <c r="AD241" s="183">
        <f>SUM(AD239:AD240)</f>
        <v>16754</v>
      </c>
      <c r="AE241" s="183">
        <f t="shared" si="304"/>
        <v>16754</v>
      </c>
      <c r="AF241" s="183">
        <f t="shared" si="304"/>
        <v>0</v>
      </c>
      <c r="AG241" s="183">
        <f t="shared" si="304"/>
        <v>16000</v>
      </c>
      <c r="AH241" s="183">
        <f t="shared" si="304"/>
        <v>8460</v>
      </c>
      <c r="AI241" s="183">
        <f t="shared" si="304"/>
        <v>7540</v>
      </c>
      <c r="AJ241" s="183">
        <f t="shared" si="304"/>
        <v>0</v>
      </c>
      <c r="AK241" s="183">
        <f t="shared" si="304"/>
        <v>7540</v>
      </c>
      <c r="AL241" s="183">
        <f t="shared" si="304"/>
        <v>0</v>
      </c>
      <c r="AM241" s="183">
        <f t="shared" si="304"/>
        <v>0</v>
      </c>
      <c r="AN241" s="183">
        <f t="shared" si="304"/>
        <v>0</v>
      </c>
      <c r="AO241" s="183">
        <f t="shared" si="304"/>
        <v>0</v>
      </c>
      <c r="AP241" s="183">
        <f t="shared" si="304"/>
        <v>0</v>
      </c>
      <c r="AQ241" s="183">
        <f t="shared" si="304"/>
        <v>8460</v>
      </c>
      <c r="AR241" s="183">
        <f t="shared" si="304"/>
        <v>754</v>
      </c>
      <c r="AS241" s="183">
        <f t="shared" si="304"/>
        <v>0</v>
      </c>
      <c r="AT241" s="183">
        <f t="shared" si="304"/>
        <v>7540</v>
      </c>
      <c r="AU241" s="183">
        <f t="shared" si="304"/>
        <v>0</v>
      </c>
      <c r="AV241" s="183">
        <f t="shared" si="304"/>
        <v>0</v>
      </c>
      <c r="AW241" s="183">
        <f>SUM(AW239:AW240)</f>
        <v>7540</v>
      </c>
      <c r="AX241" s="183">
        <f>SUM(AX239:AX240)</f>
        <v>0</v>
      </c>
      <c r="AY241" s="661"/>
      <c r="AZ241" s="661"/>
      <c r="BA241" s="661"/>
    </row>
    <row r="242" spans="2:54" s="76" customFormat="1" ht="31.5">
      <c r="B242" s="703"/>
      <c r="C242" s="180" t="s">
        <v>1278</v>
      </c>
      <c r="D242" s="207"/>
      <c r="E242" s="193"/>
      <c r="F242" s="193"/>
      <c r="G242" s="185">
        <f>G229+G237+G241</f>
        <v>47955</v>
      </c>
      <c r="H242" s="753"/>
      <c r="I242" s="185">
        <f>I229+I237+I241</f>
        <v>552.70000000000005</v>
      </c>
      <c r="J242" s="753"/>
      <c r="K242" s="185"/>
      <c r="L242" s="185"/>
      <c r="M242" s="753"/>
      <c r="N242" s="185"/>
      <c r="O242" s="753"/>
      <c r="P242" s="185"/>
      <c r="Q242" s="185"/>
      <c r="R242" s="185">
        <f>R229+R237+R241</f>
        <v>48507.7</v>
      </c>
      <c r="S242" s="183">
        <f>S229+S237+S241</f>
        <v>8</v>
      </c>
      <c r="T242" s="183">
        <f>T229+T237+T241</f>
        <v>0.5</v>
      </c>
      <c r="U242" s="185"/>
      <c r="V242" s="753"/>
      <c r="W242" s="185">
        <f>W229+W237+W241</f>
        <v>754</v>
      </c>
      <c r="X242" s="753"/>
      <c r="Y242" s="753"/>
      <c r="Z242" s="185">
        <f>Z229+Z237+Z241</f>
        <v>10404.34</v>
      </c>
      <c r="AA242" s="185">
        <f>AA229+AA237+AA241</f>
        <v>13791.56</v>
      </c>
      <c r="AB242" s="801">
        <f>AB229+AB237+AB241</f>
        <v>69105.8</v>
      </c>
      <c r="AC242" s="185">
        <f t="shared" ref="AC242:AV242" si="305">AC229+AC237+AC241</f>
        <v>38648.199999999997</v>
      </c>
      <c r="AD242" s="185">
        <f>AD229+AD237+AD241</f>
        <v>107754</v>
      </c>
      <c r="AE242" s="185">
        <f t="shared" si="305"/>
        <v>107754</v>
      </c>
      <c r="AF242" s="185">
        <f t="shared" si="305"/>
        <v>38648.199999999997</v>
      </c>
      <c r="AG242" s="185">
        <f>AG229+AG237+AG241</f>
        <v>68000</v>
      </c>
      <c r="AH242" s="185">
        <f t="shared" si="305"/>
        <v>13439.759999999998</v>
      </c>
      <c r="AI242" s="185">
        <f t="shared" si="305"/>
        <v>40702</v>
      </c>
      <c r="AJ242" s="185">
        <f t="shared" si="305"/>
        <v>3626.5</v>
      </c>
      <c r="AK242" s="185">
        <f t="shared" si="305"/>
        <v>41254.699999999997</v>
      </c>
      <c r="AL242" s="185">
        <f t="shared" si="305"/>
        <v>3626.5</v>
      </c>
      <c r="AM242" s="185">
        <f t="shared" si="305"/>
        <v>552.69999999999982</v>
      </c>
      <c r="AN242" s="185">
        <f t="shared" si="305"/>
        <v>0</v>
      </c>
      <c r="AO242" s="185">
        <f t="shared" si="305"/>
        <v>8953.74</v>
      </c>
      <c r="AP242" s="185">
        <f t="shared" si="305"/>
        <v>725.30000000000007</v>
      </c>
      <c r="AQ242" s="185">
        <f t="shared" si="305"/>
        <v>13791.56</v>
      </c>
      <c r="AR242" s="185">
        <f t="shared" si="305"/>
        <v>754</v>
      </c>
      <c r="AS242" s="185">
        <f t="shared" si="305"/>
        <v>0</v>
      </c>
      <c r="AT242" s="185">
        <f t="shared" si="305"/>
        <v>41254.699999999997</v>
      </c>
      <c r="AU242" s="185">
        <f t="shared" si="305"/>
        <v>3626.5</v>
      </c>
      <c r="AV242" s="185">
        <f t="shared" si="305"/>
        <v>0</v>
      </c>
      <c r="AW242" s="185">
        <f>AW229+AW237+AW241</f>
        <v>44881.2</v>
      </c>
      <c r="AX242" s="185">
        <f>AX229+AX237+AX241</f>
        <v>0</v>
      </c>
      <c r="AY242" s="661"/>
      <c r="AZ242" s="661"/>
      <c r="BA242" s="661"/>
    </row>
    <row r="243" spans="2:54" s="76" customFormat="1" ht="61.5">
      <c r="B243" s="703"/>
      <c r="C243" s="191" t="s">
        <v>1881</v>
      </c>
      <c r="D243" s="192"/>
      <c r="E243" s="193"/>
      <c r="F243" s="193"/>
      <c r="G243" s="193"/>
      <c r="H243" s="731"/>
      <c r="I243" s="193"/>
      <c r="J243" s="731"/>
      <c r="K243" s="193"/>
      <c r="L243" s="193"/>
      <c r="M243" s="731"/>
      <c r="N243" s="193"/>
      <c r="O243" s="731"/>
      <c r="P243" s="193"/>
      <c r="Q243" s="193"/>
      <c r="R243" s="193"/>
      <c r="S243" s="193"/>
      <c r="T243" s="193"/>
      <c r="U243" s="193"/>
      <c r="V243" s="732"/>
      <c r="W243" s="193"/>
      <c r="X243" s="732"/>
      <c r="Y243" s="732"/>
      <c r="Z243" s="193"/>
      <c r="AA243" s="193"/>
      <c r="AB243" s="795"/>
      <c r="AC243" s="195"/>
      <c r="AD243" s="195"/>
      <c r="AE243" s="195"/>
      <c r="AF243" s="195"/>
      <c r="AG243" s="195"/>
      <c r="AH243" s="195"/>
      <c r="AI243" s="203"/>
      <c r="AJ243" s="203"/>
      <c r="AK243" s="203"/>
      <c r="AL243" s="203"/>
      <c r="AM243" s="203"/>
      <c r="AN243" s="203"/>
      <c r="AO243" s="205"/>
      <c r="AP243" s="205"/>
      <c r="AQ243" s="205"/>
      <c r="AR243" s="205"/>
      <c r="AS243" s="205"/>
      <c r="AT243" s="209"/>
      <c r="AU243" s="209"/>
      <c r="AV243" s="203"/>
      <c r="AW243" s="251"/>
      <c r="AX243" s="251"/>
      <c r="AY243" s="661"/>
      <c r="AZ243" s="661"/>
      <c r="BA243" s="661"/>
    </row>
    <row r="244" spans="2:54" s="76" customFormat="1" ht="33">
      <c r="B244" s="703"/>
      <c r="C244" s="220" t="s">
        <v>1382</v>
      </c>
      <c r="D244" s="217"/>
      <c r="E244" s="218"/>
      <c r="F244" s="218"/>
      <c r="G244" s="218"/>
      <c r="H244" s="745"/>
      <c r="I244" s="218"/>
      <c r="J244" s="745"/>
      <c r="K244" s="218"/>
      <c r="L244" s="218"/>
      <c r="M244" s="745"/>
      <c r="N244" s="218"/>
      <c r="O244" s="745"/>
      <c r="P244" s="218"/>
      <c r="Q244" s="218"/>
      <c r="R244" s="218"/>
      <c r="S244" s="218"/>
      <c r="T244" s="218"/>
      <c r="U244" s="218"/>
      <c r="V244" s="746"/>
      <c r="W244" s="218"/>
      <c r="X244" s="746"/>
      <c r="Y244" s="746"/>
      <c r="Z244" s="218"/>
      <c r="AA244" s="218"/>
      <c r="AB244" s="799"/>
      <c r="AC244" s="219"/>
      <c r="AD244" s="219"/>
      <c r="AE244" s="219"/>
      <c r="AF244" s="219"/>
      <c r="AG244" s="219"/>
      <c r="AH244" s="219"/>
      <c r="AI244" s="203"/>
      <c r="AJ244" s="203"/>
      <c r="AK244" s="203"/>
      <c r="AL244" s="203"/>
      <c r="AM244" s="203"/>
      <c r="AN244" s="203"/>
      <c r="AO244" s="205"/>
      <c r="AP244" s="205"/>
      <c r="AQ244" s="205"/>
      <c r="AR244" s="205"/>
      <c r="AS244" s="205"/>
      <c r="AT244" s="209"/>
      <c r="AU244" s="209"/>
      <c r="AV244" s="203"/>
      <c r="AW244" s="251"/>
      <c r="AX244" s="251"/>
      <c r="AY244" s="661"/>
      <c r="AZ244" s="661"/>
      <c r="BA244" s="661"/>
    </row>
    <row r="245" spans="2:54" s="76" customFormat="1" ht="58.5">
      <c r="B245" s="703">
        <f>B240+1</f>
        <v>166</v>
      </c>
      <c r="C245" s="197" t="s">
        <v>1035</v>
      </c>
      <c r="D245" s="198" t="s">
        <v>1733</v>
      </c>
      <c r="E245" s="703" t="s">
        <v>1734</v>
      </c>
      <c r="F245" s="703">
        <v>14</v>
      </c>
      <c r="G245" s="199">
        <v>7732</v>
      </c>
      <c r="H245" s="737">
        <v>0.25</v>
      </c>
      <c r="I245" s="703">
        <f>G245*H245</f>
        <v>1933</v>
      </c>
      <c r="J245" s="737">
        <v>0.4</v>
      </c>
      <c r="K245" s="204">
        <f>(G245+I245)*J245</f>
        <v>3866</v>
      </c>
      <c r="L245" s="703"/>
      <c r="M245" s="718"/>
      <c r="N245" s="703"/>
      <c r="O245" s="718"/>
      <c r="P245" s="703"/>
      <c r="Q245" s="703"/>
      <c r="R245" s="199">
        <f t="shared" ref="R245:R257" si="306">G245+I245+K245+L245+N245+P245+Q245</f>
        <v>13531</v>
      </c>
      <c r="S245" s="199">
        <v>1</v>
      </c>
      <c r="T245" s="199"/>
      <c r="U245" s="703"/>
      <c r="V245" s="718"/>
      <c r="W245" s="703"/>
      <c r="X245" s="718">
        <v>32</v>
      </c>
      <c r="Y245" s="737">
        <v>0.3</v>
      </c>
      <c r="Z245" s="199">
        <f>R245*Y245</f>
        <v>4059.2999999999997</v>
      </c>
      <c r="AA245" s="199"/>
      <c r="AB245" s="796">
        <f>R245+Z245</f>
        <v>17590.3</v>
      </c>
      <c r="AC245" s="738">
        <f t="shared" ref="AC245:AC255" si="307">AF245</f>
        <v>2409.7000000000007</v>
      </c>
      <c r="AD245" s="738">
        <f t="shared" ref="AD245:AD255" si="308">AB245+AC245</f>
        <v>20000</v>
      </c>
      <c r="AE245" s="202">
        <f t="shared" ref="AE245:AE250" si="309">20000*S245</f>
        <v>20000</v>
      </c>
      <c r="AF245" s="202">
        <f t="shared" ref="AF245:AF255" si="310">AE245-AB245</f>
        <v>2409.7000000000007</v>
      </c>
      <c r="AG245" s="738">
        <f>8000*S245</f>
        <v>8000</v>
      </c>
      <c r="AH245" s="202">
        <f>AG245-(R245+Z245)*S245</f>
        <v>-9590.2999999999993</v>
      </c>
      <c r="AI245" s="203">
        <f t="shared" ref="AI245:AI255" si="311">G245*S245</f>
        <v>7732</v>
      </c>
      <c r="AJ245" s="203">
        <f t="shared" ref="AJ245:AJ255" si="312">G245*T245</f>
        <v>0</v>
      </c>
      <c r="AK245" s="203">
        <f t="shared" ref="AK245:AK257" si="313">R245*S245</f>
        <v>13531</v>
      </c>
      <c r="AL245" s="203">
        <f t="shared" ref="AL245:AL257" si="314">R245*T245</f>
        <v>0</v>
      </c>
      <c r="AM245" s="203">
        <f t="shared" ref="AM245:AM257" si="315">AK245-AI245</f>
        <v>5799</v>
      </c>
      <c r="AN245" s="203">
        <f t="shared" ref="AN245:AN257" si="316">AL245-AJ245</f>
        <v>0</v>
      </c>
      <c r="AO245" s="205">
        <f t="shared" ref="AO245:AO257" si="317">Z245*S245</f>
        <v>4059.2999999999997</v>
      </c>
      <c r="AP245" s="205">
        <f t="shared" ref="AP245:AP257" si="318">Z245*T245</f>
        <v>0</v>
      </c>
      <c r="AQ245" s="205">
        <f t="shared" ref="AQ245:AQ257" si="319">AA245</f>
        <v>0</v>
      </c>
      <c r="AR245" s="205">
        <f t="shared" ref="AR245:AR257" si="320">W245*S245</f>
        <v>0</v>
      </c>
      <c r="AS245" s="205">
        <f t="shared" ref="AS245:AS257" si="321">W245*T245</f>
        <v>0</v>
      </c>
      <c r="AT245" s="209">
        <f t="shared" si="277"/>
        <v>13531</v>
      </c>
      <c r="AU245" s="209">
        <f t="shared" si="277"/>
        <v>0</v>
      </c>
      <c r="AV245" s="203"/>
      <c r="AW245" s="251">
        <f>R245*S245</f>
        <v>13531</v>
      </c>
      <c r="AX245" s="251"/>
      <c r="AY245" s="661"/>
      <c r="AZ245" s="661"/>
      <c r="BA245" s="661"/>
    </row>
    <row r="246" spans="2:54" s="76" customFormat="1" ht="33">
      <c r="B246" s="703">
        <f t="shared" si="271"/>
        <v>167</v>
      </c>
      <c r="C246" s="197" t="s">
        <v>1036</v>
      </c>
      <c r="D246" s="198" t="s">
        <v>184</v>
      </c>
      <c r="E246" s="703" t="s">
        <v>1679</v>
      </c>
      <c r="F246" s="703">
        <v>13</v>
      </c>
      <c r="G246" s="199">
        <v>7253</v>
      </c>
      <c r="H246" s="718"/>
      <c r="I246" s="703"/>
      <c r="J246" s="737">
        <v>0.25</v>
      </c>
      <c r="K246" s="204">
        <f t="shared" ref="K246:K254" si="322">(G246+I246)*J246</f>
        <v>1813.25</v>
      </c>
      <c r="L246" s="703"/>
      <c r="M246" s="718"/>
      <c r="N246" s="703"/>
      <c r="O246" s="718"/>
      <c r="P246" s="703"/>
      <c r="Q246" s="703"/>
      <c r="R246" s="199">
        <f t="shared" si="306"/>
        <v>9066.25</v>
      </c>
      <c r="S246" s="199"/>
      <c r="T246" s="199">
        <v>0.5</v>
      </c>
      <c r="U246" s="703"/>
      <c r="V246" s="718"/>
      <c r="W246" s="703"/>
      <c r="X246" s="718">
        <v>35</v>
      </c>
      <c r="Y246" s="737">
        <v>0.3</v>
      </c>
      <c r="Z246" s="199">
        <f>R246*Y246</f>
        <v>2719.875</v>
      </c>
      <c r="AA246" s="199"/>
      <c r="AB246" s="796">
        <f>(R246+Z246)*T246</f>
        <v>5893.0625</v>
      </c>
      <c r="AC246" s="738">
        <f>AF246</f>
        <v>4106.9375</v>
      </c>
      <c r="AD246" s="738">
        <f>AB246+AC246</f>
        <v>10000</v>
      </c>
      <c r="AE246" s="202">
        <f>20000*T246</f>
        <v>10000</v>
      </c>
      <c r="AF246" s="202">
        <f>AE246-AB246</f>
        <v>4106.9375</v>
      </c>
      <c r="AG246" s="738">
        <f>8000*T246</f>
        <v>4000</v>
      </c>
      <c r="AH246" s="202">
        <f>AG246-(R246+Z246)*T246</f>
        <v>-1893.0625</v>
      </c>
      <c r="AI246" s="203">
        <f>G246*S246</f>
        <v>0</v>
      </c>
      <c r="AJ246" s="203">
        <f>G246*T246</f>
        <v>3626.5</v>
      </c>
      <c r="AK246" s="203">
        <f t="shared" si="313"/>
        <v>0</v>
      </c>
      <c r="AL246" s="203">
        <f t="shared" si="314"/>
        <v>4533.125</v>
      </c>
      <c r="AM246" s="203">
        <f t="shared" si="315"/>
        <v>0</v>
      </c>
      <c r="AN246" s="203">
        <f t="shared" si="316"/>
        <v>906.625</v>
      </c>
      <c r="AO246" s="205">
        <f t="shared" si="317"/>
        <v>0</v>
      </c>
      <c r="AP246" s="205">
        <f t="shared" si="318"/>
        <v>1359.9375</v>
      </c>
      <c r="AQ246" s="205">
        <f t="shared" si="319"/>
        <v>0</v>
      </c>
      <c r="AR246" s="205">
        <f t="shared" si="320"/>
        <v>0</v>
      </c>
      <c r="AS246" s="205">
        <f t="shared" si="321"/>
        <v>0</v>
      </c>
      <c r="AT246" s="209">
        <f t="shared" si="277"/>
        <v>0</v>
      </c>
      <c r="AU246" s="209">
        <f t="shared" si="277"/>
        <v>4533.125</v>
      </c>
      <c r="AV246" s="203"/>
      <c r="AW246" s="251">
        <f>R246*T246</f>
        <v>4533.125</v>
      </c>
      <c r="AX246" s="251"/>
      <c r="AY246" s="661"/>
      <c r="AZ246" s="661"/>
      <c r="BA246" s="661"/>
    </row>
    <row r="247" spans="2:54" s="78" customFormat="1" ht="58.5">
      <c r="B247" s="703">
        <f t="shared" si="271"/>
        <v>168</v>
      </c>
      <c r="C247" s="197" t="s">
        <v>1036</v>
      </c>
      <c r="D247" s="198" t="s">
        <v>1775</v>
      </c>
      <c r="E247" s="703" t="s">
        <v>1037</v>
      </c>
      <c r="F247" s="703">
        <v>13</v>
      </c>
      <c r="G247" s="199">
        <v>7253</v>
      </c>
      <c r="H247" s="718"/>
      <c r="I247" s="703"/>
      <c r="J247" s="737">
        <v>0.25</v>
      </c>
      <c r="K247" s="204">
        <f t="shared" si="322"/>
        <v>1813.25</v>
      </c>
      <c r="L247" s="703"/>
      <c r="M247" s="718"/>
      <c r="N247" s="703"/>
      <c r="O247" s="718"/>
      <c r="P247" s="199"/>
      <c r="Q247" s="199"/>
      <c r="R247" s="199">
        <f t="shared" si="306"/>
        <v>9066.25</v>
      </c>
      <c r="S247" s="199">
        <v>1</v>
      </c>
      <c r="T247" s="199"/>
      <c r="U247" s="199"/>
      <c r="V247" s="736"/>
      <c r="W247" s="199"/>
      <c r="X247" s="718">
        <v>27</v>
      </c>
      <c r="Y247" s="737">
        <v>0.3</v>
      </c>
      <c r="Z247" s="199">
        <f t="shared" ref="Z247:Z257" si="323">R247*Y247</f>
        <v>2719.875</v>
      </c>
      <c r="AA247" s="199"/>
      <c r="AB247" s="796">
        <f>(R247+Z247)*S247</f>
        <v>11786.125</v>
      </c>
      <c r="AC247" s="738">
        <f t="shared" si="307"/>
        <v>8213.875</v>
      </c>
      <c r="AD247" s="738">
        <f t="shared" si="308"/>
        <v>20000</v>
      </c>
      <c r="AE247" s="202">
        <f t="shared" si="309"/>
        <v>20000</v>
      </c>
      <c r="AF247" s="202">
        <f t="shared" si="310"/>
        <v>8213.875</v>
      </c>
      <c r="AG247" s="738">
        <f t="shared" ref="AG247:AG252" si="324">8000*S247</f>
        <v>8000</v>
      </c>
      <c r="AH247" s="202">
        <f t="shared" ref="AH247:AH252" si="325">AG247-(R247+Z247)*S247</f>
        <v>-3786.125</v>
      </c>
      <c r="AI247" s="203">
        <f t="shared" si="311"/>
        <v>7253</v>
      </c>
      <c r="AJ247" s="203">
        <f t="shared" si="312"/>
        <v>0</v>
      </c>
      <c r="AK247" s="203">
        <f t="shared" si="313"/>
        <v>9066.25</v>
      </c>
      <c r="AL247" s="203">
        <f t="shared" si="314"/>
        <v>0</v>
      </c>
      <c r="AM247" s="203">
        <f t="shared" si="315"/>
        <v>1813.25</v>
      </c>
      <c r="AN247" s="203">
        <f t="shared" si="316"/>
        <v>0</v>
      </c>
      <c r="AO247" s="205">
        <f t="shared" si="317"/>
        <v>2719.875</v>
      </c>
      <c r="AP247" s="205">
        <f t="shared" si="318"/>
        <v>0</v>
      </c>
      <c r="AQ247" s="205">
        <f t="shared" si="319"/>
        <v>0</v>
      </c>
      <c r="AR247" s="205">
        <f t="shared" si="320"/>
        <v>0</v>
      </c>
      <c r="AS247" s="205">
        <f t="shared" si="321"/>
        <v>0</v>
      </c>
      <c r="AT247" s="209">
        <f t="shared" si="277"/>
        <v>9066.25</v>
      </c>
      <c r="AU247" s="209">
        <f t="shared" si="277"/>
        <v>0</v>
      </c>
      <c r="AV247" s="203"/>
      <c r="AW247" s="251">
        <f t="shared" ref="AW247:AW252" si="326">R247*S247</f>
        <v>9066.25</v>
      </c>
      <c r="AX247" s="251"/>
      <c r="AY247" s="661"/>
      <c r="AZ247" s="661"/>
      <c r="BA247" s="661"/>
      <c r="BB247" s="76"/>
    </row>
    <row r="248" spans="2:54" s="78" customFormat="1" ht="58.5">
      <c r="B248" s="703">
        <f t="shared" si="271"/>
        <v>169</v>
      </c>
      <c r="C248" s="197" t="s">
        <v>1036</v>
      </c>
      <c r="D248" s="198" t="s">
        <v>185</v>
      </c>
      <c r="E248" s="703" t="s">
        <v>1060</v>
      </c>
      <c r="F248" s="703">
        <v>11</v>
      </c>
      <c r="G248" s="199">
        <v>6294</v>
      </c>
      <c r="H248" s="718"/>
      <c r="I248" s="703"/>
      <c r="J248" s="737">
        <v>0.25</v>
      </c>
      <c r="K248" s="204">
        <f>(G248+I248)*J248</f>
        <v>1573.5</v>
      </c>
      <c r="L248" s="703"/>
      <c r="M248" s="718"/>
      <c r="N248" s="703"/>
      <c r="O248" s="718"/>
      <c r="P248" s="199"/>
      <c r="Q248" s="199"/>
      <c r="R248" s="199">
        <f t="shared" si="306"/>
        <v>7867.5</v>
      </c>
      <c r="S248" s="199">
        <v>1</v>
      </c>
      <c r="T248" s="199"/>
      <c r="U248" s="199"/>
      <c r="V248" s="736"/>
      <c r="W248" s="199"/>
      <c r="X248" s="718">
        <v>5</v>
      </c>
      <c r="Y248" s="737">
        <v>0.1</v>
      </c>
      <c r="Z248" s="199">
        <f>R248*Y248</f>
        <v>786.75</v>
      </c>
      <c r="AA248" s="199"/>
      <c r="AB248" s="796">
        <f>(R248+Z248)*S248</f>
        <v>8654.25</v>
      </c>
      <c r="AC248" s="738">
        <f t="shared" si="307"/>
        <v>11345.75</v>
      </c>
      <c r="AD248" s="738">
        <f t="shared" si="308"/>
        <v>20000</v>
      </c>
      <c r="AE248" s="202">
        <f t="shared" si="309"/>
        <v>20000</v>
      </c>
      <c r="AF248" s="202">
        <f t="shared" si="310"/>
        <v>11345.75</v>
      </c>
      <c r="AG248" s="738">
        <f t="shared" si="324"/>
        <v>8000</v>
      </c>
      <c r="AH248" s="202">
        <f t="shared" si="325"/>
        <v>-654.25</v>
      </c>
      <c r="AI248" s="203">
        <f t="shared" si="311"/>
        <v>6294</v>
      </c>
      <c r="AJ248" s="203">
        <f t="shared" si="312"/>
        <v>0</v>
      </c>
      <c r="AK248" s="203">
        <f t="shared" si="313"/>
        <v>7867.5</v>
      </c>
      <c r="AL248" s="203">
        <f t="shared" si="314"/>
        <v>0</v>
      </c>
      <c r="AM248" s="203">
        <f t="shared" si="315"/>
        <v>1573.5</v>
      </c>
      <c r="AN248" s="203">
        <f t="shared" si="316"/>
        <v>0</v>
      </c>
      <c r="AO248" s="205">
        <f t="shared" si="317"/>
        <v>786.75</v>
      </c>
      <c r="AP248" s="205">
        <f t="shared" si="318"/>
        <v>0</v>
      </c>
      <c r="AQ248" s="205">
        <f t="shared" si="319"/>
        <v>0</v>
      </c>
      <c r="AR248" s="205">
        <f t="shared" si="320"/>
        <v>0</v>
      </c>
      <c r="AS248" s="205">
        <f t="shared" si="321"/>
        <v>0</v>
      </c>
      <c r="AT248" s="209">
        <f t="shared" si="277"/>
        <v>7867.5</v>
      </c>
      <c r="AU248" s="209">
        <f t="shared" si="277"/>
        <v>0</v>
      </c>
      <c r="AV248" s="203"/>
      <c r="AW248" s="251">
        <f t="shared" si="326"/>
        <v>7867.5</v>
      </c>
      <c r="AX248" s="251"/>
      <c r="AY248" s="661"/>
      <c r="AZ248" s="661"/>
      <c r="BA248" s="661"/>
    </row>
    <row r="249" spans="2:54" s="76" customFormat="1" ht="58.5">
      <c r="B249" s="703">
        <f t="shared" si="271"/>
        <v>170</v>
      </c>
      <c r="C249" s="197" t="s">
        <v>1036</v>
      </c>
      <c r="D249" s="198" t="s">
        <v>1038</v>
      </c>
      <c r="E249" s="703" t="s">
        <v>1039</v>
      </c>
      <c r="F249" s="703">
        <v>13</v>
      </c>
      <c r="G249" s="199">
        <v>7253</v>
      </c>
      <c r="H249" s="718"/>
      <c r="I249" s="703"/>
      <c r="J249" s="737">
        <v>0.25</v>
      </c>
      <c r="K249" s="204">
        <f t="shared" si="322"/>
        <v>1813.25</v>
      </c>
      <c r="L249" s="703"/>
      <c r="M249" s="718"/>
      <c r="N249" s="703"/>
      <c r="O249" s="718"/>
      <c r="P249" s="199"/>
      <c r="Q249" s="199"/>
      <c r="R249" s="199">
        <f t="shared" si="306"/>
        <v>9066.25</v>
      </c>
      <c r="S249" s="199">
        <v>1</v>
      </c>
      <c r="T249" s="199"/>
      <c r="U249" s="199"/>
      <c r="V249" s="736"/>
      <c r="W249" s="199"/>
      <c r="X249" s="718">
        <v>15</v>
      </c>
      <c r="Y249" s="737">
        <v>0.2</v>
      </c>
      <c r="Z249" s="199">
        <f t="shared" si="323"/>
        <v>1813.25</v>
      </c>
      <c r="AA249" s="199"/>
      <c r="AB249" s="796">
        <f>(R249+Z249)*S249</f>
        <v>10879.5</v>
      </c>
      <c r="AC249" s="738">
        <f t="shared" si="307"/>
        <v>9120.5</v>
      </c>
      <c r="AD249" s="738">
        <f t="shared" si="308"/>
        <v>20000</v>
      </c>
      <c r="AE249" s="202">
        <f t="shared" si="309"/>
        <v>20000</v>
      </c>
      <c r="AF249" s="202">
        <f t="shared" si="310"/>
        <v>9120.5</v>
      </c>
      <c r="AG249" s="738">
        <f t="shared" si="324"/>
        <v>8000</v>
      </c>
      <c r="AH249" s="202">
        <f t="shared" si="325"/>
        <v>-2879.5</v>
      </c>
      <c r="AI249" s="203">
        <f t="shared" si="311"/>
        <v>7253</v>
      </c>
      <c r="AJ249" s="203">
        <f t="shared" si="312"/>
        <v>0</v>
      </c>
      <c r="AK249" s="203">
        <f t="shared" si="313"/>
        <v>9066.25</v>
      </c>
      <c r="AL249" s="203">
        <f t="shared" si="314"/>
        <v>0</v>
      </c>
      <c r="AM249" s="203">
        <f t="shared" si="315"/>
        <v>1813.25</v>
      </c>
      <c r="AN249" s="203">
        <f t="shared" si="316"/>
        <v>0</v>
      </c>
      <c r="AO249" s="205">
        <f t="shared" si="317"/>
        <v>1813.25</v>
      </c>
      <c r="AP249" s="205">
        <f t="shared" si="318"/>
        <v>0</v>
      </c>
      <c r="AQ249" s="205">
        <f t="shared" si="319"/>
        <v>0</v>
      </c>
      <c r="AR249" s="205">
        <f t="shared" si="320"/>
        <v>0</v>
      </c>
      <c r="AS249" s="205">
        <f t="shared" si="321"/>
        <v>0</v>
      </c>
      <c r="AT249" s="209">
        <f t="shared" si="277"/>
        <v>9066.25</v>
      </c>
      <c r="AU249" s="209">
        <f t="shared" si="277"/>
        <v>0</v>
      </c>
      <c r="AV249" s="203"/>
      <c r="AW249" s="251">
        <f t="shared" si="326"/>
        <v>9066.25</v>
      </c>
      <c r="AX249" s="251"/>
      <c r="AY249" s="661"/>
      <c r="AZ249" s="661"/>
      <c r="BA249" s="661"/>
    </row>
    <row r="250" spans="2:54" s="76" customFormat="1" ht="33">
      <c r="B250" s="703">
        <f t="shared" si="271"/>
        <v>171</v>
      </c>
      <c r="C250" s="197" t="s">
        <v>1036</v>
      </c>
      <c r="D250" s="198"/>
      <c r="E250" s="703" t="s">
        <v>1741</v>
      </c>
      <c r="F250" s="703">
        <v>13</v>
      </c>
      <c r="G250" s="199">
        <v>7253</v>
      </c>
      <c r="H250" s="718"/>
      <c r="I250" s="703"/>
      <c r="J250" s="737">
        <v>0.25</v>
      </c>
      <c r="K250" s="204">
        <f>(G250+I250)*J250</f>
        <v>1813.25</v>
      </c>
      <c r="L250" s="703"/>
      <c r="M250" s="718"/>
      <c r="N250" s="703"/>
      <c r="O250" s="718"/>
      <c r="P250" s="199"/>
      <c r="Q250" s="199"/>
      <c r="R250" s="199">
        <f t="shared" si="306"/>
        <v>9066.25</v>
      </c>
      <c r="S250" s="199">
        <v>0.5</v>
      </c>
      <c r="T250" s="199"/>
      <c r="U250" s="199"/>
      <c r="V250" s="736"/>
      <c r="W250" s="199"/>
      <c r="X250" s="718"/>
      <c r="Y250" s="737">
        <v>0</v>
      </c>
      <c r="Z250" s="199">
        <f t="shared" si="323"/>
        <v>0</v>
      </c>
      <c r="AA250" s="199"/>
      <c r="AB250" s="796">
        <f>(R250+Z250)*S250</f>
        <v>4533.125</v>
      </c>
      <c r="AC250" s="738">
        <f>AF250</f>
        <v>5466.875</v>
      </c>
      <c r="AD250" s="738">
        <f>AB250+AC250</f>
        <v>10000</v>
      </c>
      <c r="AE250" s="202">
        <f t="shared" si="309"/>
        <v>10000</v>
      </c>
      <c r="AF250" s="202">
        <f>AE250-AB250</f>
        <v>5466.875</v>
      </c>
      <c r="AG250" s="738">
        <f t="shared" si="324"/>
        <v>4000</v>
      </c>
      <c r="AH250" s="202">
        <f t="shared" si="325"/>
        <v>-533.125</v>
      </c>
      <c r="AI250" s="203">
        <f>G250*S250</f>
        <v>3626.5</v>
      </c>
      <c r="AJ250" s="203">
        <f>G250*T250</f>
        <v>0</v>
      </c>
      <c r="AK250" s="203">
        <f t="shared" si="313"/>
        <v>4533.125</v>
      </c>
      <c r="AL250" s="203">
        <f t="shared" si="314"/>
        <v>0</v>
      </c>
      <c r="AM250" s="203">
        <f t="shared" si="315"/>
        <v>906.625</v>
      </c>
      <c r="AN250" s="203">
        <f t="shared" si="316"/>
        <v>0</v>
      </c>
      <c r="AO250" s="205">
        <f t="shared" si="317"/>
        <v>0</v>
      </c>
      <c r="AP250" s="205">
        <f t="shared" si="318"/>
        <v>0</v>
      </c>
      <c r="AQ250" s="205">
        <f t="shared" si="319"/>
        <v>0</v>
      </c>
      <c r="AR250" s="205">
        <f t="shared" si="320"/>
        <v>0</v>
      </c>
      <c r="AS250" s="205">
        <f t="shared" si="321"/>
        <v>0</v>
      </c>
      <c r="AT250" s="209">
        <f t="shared" si="277"/>
        <v>4533.125</v>
      </c>
      <c r="AU250" s="209">
        <f t="shared" si="277"/>
        <v>0</v>
      </c>
      <c r="AV250" s="203"/>
      <c r="AW250" s="251">
        <f t="shared" si="326"/>
        <v>4533.125</v>
      </c>
      <c r="AX250" s="251"/>
      <c r="AY250" s="661"/>
      <c r="AZ250" s="661"/>
      <c r="BA250" s="661"/>
    </row>
    <row r="251" spans="2:54" s="76" customFormat="1" ht="33">
      <c r="B251" s="703">
        <f t="shared" si="271"/>
        <v>172</v>
      </c>
      <c r="C251" s="197" t="s">
        <v>1036</v>
      </c>
      <c r="D251" s="198" t="s">
        <v>167</v>
      </c>
      <c r="E251" s="703" t="s">
        <v>186</v>
      </c>
      <c r="F251" s="703">
        <v>11</v>
      </c>
      <c r="G251" s="199">
        <v>6294</v>
      </c>
      <c r="H251" s="718"/>
      <c r="I251" s="703"/>
      <c r="J251" s="737">
        <v>0.25</v>
      </c>
      <c r="K251" s="204">
        <f>(G251+I251)*J251</f>
        <v>1573.5</v>
      </c>
      <c r="L251" s="703"/>
      <c r="M251" s="718"/>
      <c r="N251" s="703"/>
      <c r="O251" s="718"/>
      <c r="P251" s="703"/>
      <c r="Q251" s="703"/>
      <c r="R251" s="199">
        <f t="shared" si="306"/>
        <v>7867.5</v>
      </c>
      <c r="S251" s="199">
        <v>1</v>
      </c>
      <c r="T251" s="199"/>
      <c r="U251" s="703"/>
      <c r="V251" s="718"/>
      <c r="W251" s="703"/>
      <c r="X251" s="718"/>
      <c r="Y251" s="737">
        <v>0</v>
      </c>
      <c r="Z251" s="199">
        <f>R251*Y251</f>
        <v>0</v>
      </c>
      <c r="AA251" s="199">
        <f>AH251</f>
        <v>132.5</v>
      </c>
      <c r="AB251" s="796">
        <f>(R251+Z251)*S251+AA251</f>
        <v>8000</v>
      </c>
      <c r="AC251" s="738">
        <f>AF251</f>
        <v>12000</v>
      </c>
      <c r="AD251" s="738">
        <f>AB251+AC251</f>
        <v>20000</v>
      </c>
      <c r="AE251" s="202">
        <f>20000*S251</f>
        <v>20000</v>
      </c>
      <c r="AF251" s="202">
        <f>AE251-AB251</f>
        <v>12000</v>
      </c>
      <c r="AG251" s="738">
        <f t="shared" si="324"/>
        <v>8000</v>
      </c>
      <c r="AH251" s="202">
        <f t="shared" si="325"/>
        <v>132.5</v>
      </c>
      <c r="AI251" s="203">
        <f>G251*S251</f>
        <v>6294</v>
      </c>
      <c r="AJ251" s="203">
        <f t="shared" si="312"/>
        <v>0</v>
      </c>
      <c r="AK251" s="203">
        <f t="shared" si="313"/>
        <v>7867.5</v>
      </c>
      <c r="AL251" s="203">
        <f t="shared" si="314"/>
        <v>0</v>
      </c>
      <c r="AM251" s="203">
        <f t="shared" si="315"/>
        <v>1573.5</v>
      </c>
      <c r="AN251" s="203">
        <f t="shared" si="316"/>
        <v>0</v>
      </c>
      <c r="AO251" s="205">
        <f t="shared" si="317"/>
        <v>0</v>
      </c>
      <c r="AP251" s="205">
        <f t="shared" si="318"/>
        <v>0</v>
      </c>
      <c r="AQ251" s="205">
        <f t="shared" si="319"/>
        <v>132.5</v>
      </c>
      <c r="AR251" s="205">
        <f t="shared" si="320"/>
        <v>0</v>
      </c>
      <c r="AS251" s="205">
        <f t="shared" si="321"/>
        <v>0</v>
      </c>
      <c r="AT251" s="209">
        <f t="shared" si="277"/>
        <v>7867.5</v>
      </c>
      <c r="AU251" s="209">
        <f t="shared" si="277"/>
        <v>0</v>
      </c>
      <c r="AV251" s="203"/>
      <c r="AW251" s="251">
        <f t="shared" si="326"/>
        <v>7867.5</v>
      </c>
      <c r="AX251" s="251"/>
      <c r="AY251" s="661"/>
      <c r="AZ251" s="661"/>
      <c r="BA251" s="661"/>
    </row>
    <row r="252" spans="2:54" s="76" customFormat="1" ht="33" customHeight="1">
      <c r="B252" s="703"/>
      <c r="C252" s="197"/>
      <c r="D252" s="198"/>
      <c r="E252" s="703"/>
      <c r="F252" s="703"/>
      <c r="G252" s="199"/>
      <c r="H252" s="718"/>
      <c r="I252" s="703"/>
      <c r="J252" s="737">
        <v>0.25</v>
      </c>
      <c r="K252" s="204">
        <f>(G252+I252)*J252</f>
        <v>0</v>
      </c>
      <c r="L252" s="703"/>
      <c r="M252" s="718"/>
      <c r="N252" s="703"/>
      <c r="O252" s="718"/>
      <c r="P252" s="199"/>
      <c r="Q252" s="199"/>
      <c r="R252" s="199">
        <f t="shared" si="306"/>
        <v>0</v>
      </c>
      <c r="S252" s="199"/>
      <c r="T252" s="199"/>
      <c r="U252" s="199"/>
      <c r="V252" s="736"/>
      <c r="W252" s="199"/>
      <c r="X252" s="718"/>
      <c r="Y252" s="737">
        <v>0.3</v>
      </c>
      <c r="Z252" s="199">
        <f t="shared" si="323"/>
        <v>0</v>
      </c>
      <c r="AA252" s="199"/>
      <c r="AB252" s="796">
        <f>(R252+Z252)*T252</f>
        <v>0</v>
      </c>
      <c r="AC252" s="738">
        <f>AF252</f>
        <v>0</v>
      </c>
      <c r="AD252" s="738">
        <f>AB252+AC252</f>
        <v>0</v>
      </c>
      <c r="AE252" s="202">
        <f>20000*T252</f>
        <v>0</v>
      </c>
      <c r="AF252" s="202">
        <f>AE252-AB252</f>
        <v>0</v>
      </c>
      <c r="AG252" s="738">
        <f t="shared" si="324"/>
        <v>0</v>
      </c>
      <c r="AH252" s="202">
        <f t="shared" si="325"/>
        <v>0</v>
      </c>
      <c r="AI252" s="203">
        <f>G252*S252</f>
        <v>0</v>
      </c>
      <c r="AJ252" s="203">
        <f>G252*T252</f>
        <v>0</v>
      </c>
      <c r="AK252" s="203">
        <f t="shared" si="313"/>
        <v>0</v>
      </c>
      <c r="AL252" s="203">
        <f t="shared" si="314"/>
        <v>0</v>
      </c>
      <c r="AM252" s="203">
        <f t="shared" si="315"/>
        <v>0</v>
      </c>
      <c r="AN252" s="203">
        <f t="shared" si="316"/>
        <v>0</v>
      </c>
      <c r="AO252" s="205">
        <f t="shared" si="317"/>
        <v>0</v>
      </c>
      <c r="AP252" s="205">
        <f t="shared" si="318"/>
        <v>0</v>
      </c>
      <c r="AQ252" s="205">
        <f t="shared" si="319"/>
        <v>0</v>
      </c>
      <c r="AR252" s="205">
        <f t="shared" si="320"/>
        <v>0</v>
      </c>
      <c r="AS252" s="205">
        <f t="shared" si="321"/>
        <v>0</v>
      </c>
      <c r="AT252" s="209">
        <f t="shared" si="277"/>
        <v>0</v>
      </c>
      <c r="AU252" s="209">
        <f t="shared" si="277"/>
        <v>0</v>
      </c>
      <c r="AV252" s="203"/>
      <c r="AW252" s="251">
        <f t="shared" si="326"/>
        <v>0</v>
      </c>
      <c r="AX252" s="251"/>
      <c r="AY252" s="661"/>
      <c r="AZ252" s="661"/>
      <c r="BA252" s="661"/>
    </row>
    <row r="253" spans="2:54" s="78" customFormat="1" ht="58.5">
      <c r="B253" s="703">
        <f>1+B251</f>
        <v>173</v>
      </c>
      <c r="C253" s="197" t="s">
        <v>1036</v>
      </c>
      <c r="D253" s="198" t="s">
        <v>1775</v>
      </c>
      <c r="E253" s="703" t="s">
        <v>1037</v>
      </c>
      <c r="F253" s="703">
        <v>13</v>
      </c>
      <c r="G253" s="199">
        <v>7253</v>
      </c>
      <c r="H253" s="718"/>
      <c r="I253" s="703"/>
      <c r="J253" s="737">
        <v>0.25</v>
      </c>
      <c r="K253" s="204">
        <f>(G253+I253)*J253</f>
        <v>1813.25</v>
      </c>
      <c r="L253" s="703"/>
      <c r="M253" s="718"/>
      <c r="N253" s="703"/>
      <c r="O253" s="718"/>
      <c r="P253" s="199"/>
      <c r="Q253" s="199"/>
      <c r="R253" s="199">
        <f t="shared" si="306"/>
        <v>9066.25</v>
      </c>
      <c r="S253" s="199"/>
      <c r="T253" s="199">
        <v>0.25</v>
      </c>
      <c r="U253" s="199"/>
      <c r="V253" s="736"/>
      <c r="W253" s="199"/>
      <c r="X253" s="718">
        <v>27</v>
      </c>
      <c r="Y253" s="737">
        <v>0.3</v>
      </c>
      <c r="Z253" s="199">
        <f t="shared" si="323"/>
        <v>2719.875</v>
      </c>
      <c r="AA253" s="199"/>
      <c r="AB253" s="796">
        <f>(R253+Z253)*T253</f>
        <v>2946.53125</v>
      </c>
      <c r="AC253" s="738">
        <f>AF253</f>
        <v>2053.46875</v>
      </c>
      <c r="AD253" s="738">
        <f>AB253+AC253</f>
        <v>5000</v>
      </c>
      <c r="AE253" s="202">
        <f>20000*T253</f>
        <v>5000</v>
      </c>
      <c r="AF253" s="202">
        <f>AE253-AB253</f>
        <v>2053.46875</v>
      </c>
      <c r="AG253" s="738">
        <f>8000*T253</f>
        <v>2000</v>
      </c>
      <c r="AH253" s="202">
        <f>AG253-(R253+Z253)*T253</f>
        <v>-946.53125</v>
      </c>
      <c r="AI253" s="203">
        <f>G253*S253</f>
        <v>0</v>
      </c>
      <c r="AJ253" s="203">
        <f>G253*T253</f>
        <v>1813.25</v>
      </c>
      <c r="AK253" s="203">
        <f t="shared" si="313"/>
        <v>0</v>
      </c>
      <c r="AL253" s="203">
        <f t="shared" si="314"/>
        <v>2266.5625</v>
      </c>
      <c r="AM253" s="203">
        <f t="shared" si="315"/>
        <v>0</v>
      </c>
      <c r="AN253" s="203">
        <f t="shared" si="316"/>
        <v>453.3125</v>
      </c>
      <c r="AO253" s="205">
        <f t="shared" si="317"/>
        <v>0</v>
      </c>
      <c r="AP253" s="205">
        <f t="shared" si="318"/>
        <v>679.96875</v>
      </c>
      <c r="AQ253" s="205">
        <f t="shared" si="319"/>
        <v>0</v>
      </c>
      <c r="AR253" s="205">
        <f t="shared" si="320"/>
        <v>0</v>
      </c>
      <c r="AS253" s="205">
        <f t="shared" si="321"/>
        <v>0</v>
      </c>
      <c r="AT253" s="209">
        <f t="shared" si="277"/>
        <v>0</v>
      </c>
      <c r="AU253" s="209">
        <f t="shared" si="277"/>
        <v>2266.5625</v>
      </c>
      <c r="AV253" s="203"/>
      <c r="AW253" s="251">
        <f>R253*T253</f>
        <v>2266.5625</v>
      </c>
      <c r="AX253" s="251"/>
      <c r="AY253" s="661"/>
      <c r="AZ253" s="661"/>
      <c r="BA253" s="661"/>
    </row>
    <row r="254" spans="2:54" s="76" customFormat="1" ht="58.5">
      <c r="B254" s="703">
        <f>B253+1</f>
        <v>174</v>
      </c>
      <c r="C254" s="197" t="s">
        <v>1036</v>
      </c>
      <c r="D254" s="198" t="s">
        <v>187</v>
      </c>
      <c r="E254" s="703" t="s">
        <v>1018</v>
      </c>
      <c r="F254" s="703">
        <v>12</v>
      </c>
      <c r="G254" s="199">
        <v>6773</v>
      </c>
      <c r="H254" s="718"/>
      <c r="I254" s="703"/>
      <c r="J254" s="737">
        <v>0.25</v>
      </c>
      <c r="K254" s="204">
        <f t="shared" si="322"/>
        <v>1693.25</v>
      </c>
      <c r="L254" s="703"/>
      <c r="M254" s="718"/>
      <c r="N254" s="703"/>
      <c r="O254" s="718"/>
      <c r="P254" s="199"/>
      <c r="Q254" s="199"/>
      <c r="R254" s="199">
        <f t="shared" si="306"/>
        <v>8466.25</v>
      </c>
      <c r="S254" s="199"/>
      <c r="T254" s="199">
        <v>0.25</v>
      </c>
      <c r="U254" s="199"/>
      <c r="V254" s="736"/>
      <c r="W254" s="199"/>
      <c r="X254" s="718">
        <v>10</v>
      </c>
      <c r="Y254" s="737">
        <v>0.2</v>
      </c>
      <c r="Z254" s="199">
        <f t="shared" si="323"/>
        <v>1693.25</v>
      </c>
      <c r="AA254" s="199"/>
      <c r="AB254" s="796">
        <f>(R254+Z254)*T254</f>
        <v>2539.875</v>
      </c>
      <c r="AC254" s="738">
        <f>AF254</f>
        <v>2460.125</v>
      </c>
      <c r="AD254" s="738">
        <f>AB254+AC254</f>
        <v>5000</v>
      </c>
      <c r="AE254" s="202">
        <f>20000*T254</f>
        <v>5000</v>
      </c>
      <c r="AF254" s="202">
        <f>AE254-AB254</f>
        <v>2460.125</v>
      </c>
      <c r="AG254" s="738">
        <f>8000*T254</f>
        <v>2000</v>
      </c>
      <c r="AH254" s="202">
        <f>AG254-(R254+Z254)*T254</f>
        <v>-539.875</v>
      </c>
      <c r="AI254" s="203">
        <f>G254*S254</f>
        <v>0</v>
      </c>
      <c r="AJ254" s="203">
        <f>G254*T254</f>
        <v>1693.25</v>
      </c>
      <c r="AK254" s="203">
        <f t="shared" si="313"/>
        <v>0</v>
      </c>
      <c r="AL254" s="203">
        <f t="shared" si="314"/>
        <v>2116.5625</v>
      </c>
      <c r="AM254" s="203">
        <f t="shared" si="315"/>
        <v>0</v>
      </c>
      <c r="AN254" s="203">
        <f t="shared" si="316"/>
        <v>423.3125</v>
      </c>
      <c r="AO254" s="205">
        <f t="shared" si="317"/>
        <v>0</v>
      </c>
      <c r="AP254" s="205">
        <f t="shared" si="318"/>
        <v>423.3125</v>
      </c>
      <c r="AQ254" s="205">
        <f t="shared" si="319"/>
        <v>0</v>
      </c>
      <c r="AR254" s="205">
        <f t="shared" si="320"/>
        <v>0</v>
      </c>
      <c r="AS254" s="205">
        <f t="shared" si="321"/>
        <v>0</v>
      </c>
      <c r="AT254" s="209">
        <f t="shared" si="277"/>
        <v>0</v>
      </c>
      <c r="AU254" s="209">
        <f t="shared" si="277"/>
        <v>2116.5625</v>
      </c>
      <c r="AV254" s="203"/>
      <c r="AW254" s="251">
        <f>R254*T254</f>
        <v>2116.5625</v>
      </c>
      <c r="AX254" s="251"/>
      <c r="AY254" s="661"/>
      <c r="AZ254" s="661"/>
      <c r="BA254" s="661"/>
    </row>
    <row r="255" spans="2:54" s="76" customFormat="1" ht="58.5">
      <c r="B255" s="703">
        <f t="shared" si="271"/>
        <v>175</v>
      </c>
      <c r="C255" s="197" t="s">
        <v>1036</v>
      </c>
      <c r="D255" s="198" t="s">
        <v>1040</v>
      </c>
      <c r="E255" s="703" t="s">
        <v>1041</v>
      </c>
      <c r="F255" s="703">
        <v>13</v>
      </c>
      <c r="G255" s="199">
        <v>7253</v>
      </c>
      <c r="H255" s="718"/>
      <c r="I255" s="703"/>
      <c r="J255" s="737">
        <v>0.25</v>
      </c>
      <c r="K255" s="204">
        <f>(G255+I255)*J255</f>
        <v>1813.25</v>
      </c>
      <c r="L255" s="703"/>
      <c r="M255" s="718"/>
      <c r="N255" s="703"/>
      <c r="O255" s="718"/>
      <c r="P255" s="199"/>
      <c r="Q255" s="199"/>
      <c r="R255" s="199">
        <f t="shared" si="306"/>
        <v>9066.25</v>
      </c>
      <c r="S255" s="199"/>
      <c r="T255" s="199">
        <v>0.5</v>
      </c>
      <c r="U255" s="199"/>
      <c r="V255" s="736"/>
      <c r="W255" s="199"/>
      <c r="X255" s="718">
        <v>9</v>
      </c>
      <c r="Y255" s="737">
        <v>0.1</v>
      </c>
      <c r="Z255" s="199">
        <f t="shared" si="323"/>
        <v>906.625</v>
      </c>
      <c r="AA255" s="199"/>
      <c r="AB255" s="796">
        <f>(R255+Z255)*T255</f>
        <v>4986.4375</v>
      </c>
      <c r="AC255" s="738">
        <f t="shared" si="307"/>
        <v>5013.5625</v>
      </c>
      <c r="AD255" s="738">
        <f t="shared" si="308"/>
        <v>10000</v>
      </c>
      <c r="AE255" s="202">
        <f>20000*T255</f>
        <v>10000</v>
      </c>
      <c r="AF255" s="202">
        <f t="shared" si="310"/>
        <v>5013.5625</v>
      </c>
      <c r="AG255" s="738">
        <f>8000*T255</f>
        <v>4000</v>
      </c>
      <c r="AH255" s="202">
        <f>AG255-(R255+Z255)*T255</f>
        <v>-986.4375</v>
      </c>
      <c r="AI255" s="203">
        <f t="shared" si="311"/>
        <v>0</v>
      </c>
      <c r="AJ255" s="203">
        <f t="shared" si="312"/>
        <v>3626.5</v>
      </c>
      <c r="AK255" s="203">
        <f t="shared" si="313"/>
        <v>0</v>
      </c>
      <c r="AL255" s="203">
        <f t="shared" si="314"/>
        <v>4533.125</v>
      </c>
      <c r="AM255" s="203">
        <f t="shared" si="315"/>
        <v>0</v>
      </c>
      <c r="AN255" s="203">
        <f t="shared" si="316"/>
        <v>906.625</v>
      </c>
      <c r="AO255" s="205">
        <f t="shared" si="317"/>
        <v>0</v>
      </c>
      <c r="AP255" s="205">
        <f t="shared" si="318"/>
        <v>453.3125</v>
      </c>
      <c r="AQ255" s="205">
        <f t="shared" si="319"/>
        <v>0</v>
      </c>
      <c r="AR255" s="205">
        <f t="shared" si="320"/>
        <v>0</v>
      </c>
      <c r="AS255" s="205">
        <f t="shared" si="321"/>
        <v>0</v>
      </c>
      <c r="AT255" s="209">
        <f t="shared" si="277"/>
        <v>0</v>
      </c>
      <c r="AU255" s="209">
        <f t="shared" si="277"/>
        <v>4533.125</v>
      </c>
      <c r="AV255" s="203"/>
      <c r="AW255" s="251">
        <f>R255*T255</f>
        <v>4533.125</v>
      </c>
      <c r="AX255" s="251"/>
      <c r="AY255" s="661"/>
      <c r="AZ255" s="661"/>
      <c r="BA255" s="661"/>
    </row>
    <row r="256" spans="2:54" s="76" customFormat="1" ht="87.75">
      <c r="B256" s="703">
        <f t="shared" si="271"/>
        <v>176</v>
      </c>
      <c r="C256" s="197" t="s">
        <v>1778</v>
      </c>
      <c r="D256" s="198" t="s">
        <v>1779</v>
      </c>
      <c r="E256" s="703" t="s">
        <v>1780</v>
      </c>
      <c r="F256" s="703">
        <v>11</v>
      </c>
      <c r="G256" s="199">
        <v>6294</v>
      </c>
      <c r="H256" s="718"/>
      <c r="I256" s="703"/>
      <c r="J256" s="737">
        <v>0.25</v>
      </c>
      <c r="K256" s="204">
        <f>(G256+I256)*J256</f>
        <v>1573.5</v>
      </c>
      <c r="L256" s="703"/>
      <c r="M256" s="718"/>
      <c r="N256" s="703"/>
      <c r="O256" s="718"/>
      <c r="P256" s="199"/>
      <c r="Q256" s="199"/>
      <c r="R256" s="199">
        <f t="shared" si="306"/>
        <v>7867.5</v>
      </c>
      <c r="S256" s="199">
        <v>1</v>
      </c>
      <c r="T256" s="199"/>
      <c r="U256" s="199"/>
      <c r="V256" s="736"/>
      <c r="W256" s="199"/>
      <c r="X256" s="718">
        <v>4</v>
      </c>
      <c r="Y256" s="737">
        <v>0.1</v>
      </c>
      <c r="Z256" s="199">
        <f t="shared" si="323"/>
        <v>786.75</v>
      </c>
      <c r="AA256" s="199"/>
      <c r="AB256" s="796">
        <f>(R256+Z256)*S256</f>
        <v>8654.25</v>
      </c>
      <c r="AC256" s="738">
        <f>AF256</f>
        <v>11345.75</v>
      </c>
      <c r="AD256" s="738">
        <f>AB256+AC256</f>
        <v>20000</v>
      </c>
      <c r="AE256" s="202">
        <f>20000*S256</f>
        <v>20000</v>
      </c>
      <c r="AF256" s="202">
        <f>AE256-AB256</f>
        <v>11345.75</v>
      </c>
      <c r="AG256" s="738">
        <f>8000*S256</f>
        <v>8000</v>
      </c>
      <c r="AH256" s="202">
        <f>AG256-(R256+Z256)*S256</f>
        <v>-654.25</v>
      </c>
      <c r="AI256" s="203">
        <f>G256*S256</f>
        <v>6294</v>
      </c>
      <c r="AJ256" s="203">
        <f>G256*T256</f>
        <v>0</v>
      </c>
      <c r="AK256" s="203">
        <f t="shared" si="313"/>
        <v>7867.5</v>
      </c>
      <c r="AL256" s="203">
        <f t="shared" si="314"/>
        <v>0</v>
      </c>
      <c r="AM256" s="203">
        <f t="shared" si="315"/>
        <v>1573.5</v>
      </c>
      <c r="AN256" s="203">
        <f t="shared" si="316"/>
        <v>0</v>
      </c>
      <c r="AO256" s="205">
        <f t="shared" si="317"/>
        <v>786.75</v>
      </c>
      <c r="AP256" s="205">
        <f t="shared" si="318"/>
        <v>0</v>
      </c>
      <c r="AQ256" s="205">
        <f t="shared" si="319"/>
        <v>0</v>
      </c>
      <c r="AR256" s="205">
        <f t="shared" si="320"/>
        <v>0</v>
      </c>
      <c r="AS256" s="205">
        <f t="shared" si="321"/>
        <v>0</v>
      </c>
      <c r="AT256" s="209">
        <f t="shared" si="277"/>
        <v>7867.5</v>
      </c>
      <c r="AU256" s="209">
        <f t="shared" si="277"/>
        <v>0</v>
      </c>
      <c r="AV256" s="203"/>
      <c r="AW256" s="251">
        <f>R256*S256</f>
        <v>7867.5</v>
      </c>
      <c r="AX256" s="251"/>
      <c r="AY256" s="661"/>
      <c r="AZ256" s="661"/>
      <c r="BA256" s="661"/>
    </row>
    <row r="257" spans="2:53" s="76" customFormat="1" ht="58.5">
      <c r="B257" s="703">
        <f t="shared" si="271"/>
        <v>177</v>
      </c>
      <c r="C257" s="197" t="s">
        <v>1015</v>
      </c>
      <c r="D257" s="198" t="s">
        <v>1833</v>
      </c>
      <c r="E257" s="703" t="s">
        <v>1781</v>
      </c>
      <c r="F257" s="703">
        <v>14</v>
      </c>
      <c r="G257" s="199">
        <v>7732</v>
      </c>
      <c r="H257" s="718"/>
      <c r="I257" s="703"/>
      <c r="J257" s="737">
        <v>0.25</v>
      </c>
      <c r="K257" s="204">
        <f>(G257+I257)*J257</f>
        <v>1933</v>
      </c>
      <c r="L257" s="703"/>
      <c r="M257" s="718"/>
      <c r="N257" s="703"/>
      <c r="O257" s="718"/>
      <c r="P257" s="199"/>
      <c r="Q257" s="199"/>
      <c r="R257" s="199">
        <f t="shared" si="306"/>
        <v>9665</v>
      </c>
      <c r="S257" s="199"/>
      <c r="T257" s="199">
        <v>0.75</v>
      </c>
      <c r="U257" s="199"/>
      <c r="V257" s="736"/>
      <c r="W257" s="199"/>
      <c r="X257" s="718">
        <v>16</v>
      </c>
      <c r="Y257" s="737">
        <v>0.2</v>
      </c>
      <c r="Z257" s="199">
        <f t="shared" si="323"/>
        <v>1933</v>
      </c>
      <c r="AA257" s="199"/>
      <c r="AB257" s="796">
        <f>(R257+Z257)*T257</f>
        <v>8698.5</v>
      </c>
      <c r="AC257" s="738">
        <f>AF257</f>
        <v>6301.5</v>
      </c>
      <c r="AD257" s="738">
        <f>AB257+AC257</f>
        <v>15000</v>
      </c>
      <c r="AE257" s="202">
        <f>20000*T257</f>
        <v>15000</v>
      </c>
      <c r="AF257" s="202">
        <f>AE257-AB257</f>
        <v>6301.5</v>
      </c>
      <c r="AG257" s="738">
        <f>8000*T257</f>
        <v>6000</v>
      </c>
      <c r="AH257" s="202">
        <f>AG257-(R257+Z257)*T257</f>
        <v>-2698.5</v>
      </c>
      <c r="AI257" s="203">
        <f>G257*S257</f>
        <v>0</v>
      </c>
      <c r="AJ257" s="203">
        <f>G257*T257</f>
        <v>5799</v>
      </c>
      <c r="AK257" s="203">
        <f t="shared" si="313"/>
        <v>0</v>
      </c>
      <c r="AL257" s="203">
        <f t="shared" si="314"/>
        <v>7248.75</v>
      </c>
      <c r="AM257" s="203">
        <f t="shared" si="315"/>
        <v>0</v>
      </c>
      <c r="AN257" s="203">
        <f t="shared" si="316"/>
        <v>1449.75</v>
      </c>
      <c r="AO257" s="205">
        <f t="shared" si="317"/>
        <v>0</v>
      </c>
      <c r="AP257" s="205">
        <f t="shared" si="318"/>
        <v>1449.75</v>
      </c>
      <c r="AQ257" s="205">
        <f t="shared" si="319"/>
        <v>0</v>
      </c>
      <c r="AR257" s="205">
        <f t="shared" si="320"/>
        <v>0</v>
      </c>
      <c r="AS257" s="205">
        <f t="shared" si="321"/>
        <v>0</v>
      </c>
      <c r="AT257" s="209">
        <f t="shared" si="277"/>
        <v>0</v>
      </c>
      <c r="AU257" s="209">
        <f t="shared" si="277"/>
        <v>7248.75</v>
      </c>
      <c r="AV257" s="203"/>
      <c r="AW257" s="251">
        <f>R257*T257</f>
        <v>7248.75</v>
      </c>
      <c r="AX257" s="251"/>
      <c r="AY257" s="661"/>
      <c r="AZ257" s="661"/>
      <c r="BA257" s="661"/>
    </row>
    <row r="258" spans="2:53" s="76" customFormat="1" ht="31.5">
      <c r="B258" s="703"/>
      <c r="C258" s="180" t="s">
        <v>1736</v>
      </c>
      <c r="D258" s="207"/>
      <c r="E258" s="193"/>
      <c r="F258" s="193"/>
      <c r="G258" s="183">
        <f>SUM(G245:G257)</f>
        <v>84637</v>
      </c>
      <c r="H258" s="731"/>
      <c r="I258" s="183">
        <f>SUM(I245:I257)</f>
        <v>1933</v>
      </c>
      <c r="J258" s="731"/>
      <c r="K258" s="185">
        <f>SUM(K245:K257)</f>
        <v>23092.25</v>
      </c>
      <c r="L258" s="193"/>
      <c r="M258" s="731"/>
      <c r="N258" s="193"/>
      <c r="O258" s="731"/>
      <c r="P258" s="193"/>
      <c r="Q258" s="193"/>
      <c r="R258" s="183">
        <f>SUM(R245:R257)</f>
        <v>109662.25</v>
      </c>
      <c r="S258" s="183">
        <f>SUM(S245:S257)</f>
        <v>6.5</v>
      </c>
      <c r="T258" s="183">
        <f>SUM(T245:T257)</f>
        <v>2.25</v>
      </c>
      <c r="U258" s="183"/>
      <c r="V258" s="742"/>
      <c r="W258" s="183"/>
      <c r="X258" s="742"/>
      <c r="Y258" s="742"/>
      <c r="Z258" s="183">
        <f>SUM(Z245:Z257)</f>
        <v>20138.55</v>
      </c>
      <c r="AA258" s="183">
        <f>SUM(AA245:AA257)</f>
        <v>132.5</v>
      </c>
      <c r="AB258" s="797">
        <f>SUM(AB245:AB257)</f>
        <v>95161.956250000003</v>
      </c>
      <c r="AC258" s="183">
        <f t="shared" ref="AC258:AV258" si="327">SUM(AC245:AC257)</f>
        <v>79838.043749999997</v>
      </c>
      <c r="AD258" s="183">
        <f>SUM(AD245:AD257)</f>
        <v>175000</v>
      </c>
      <c r="AE258" s="183">
        <f t="shared" si="327"/>
        <v>175000</v>
      </c>
      <c r="AF258" s="183">
        <f t="shared" si="327"/>
        <v>79838.043749999997</v>
      </c>
      <c r="AG258" s="183">
        <f>SUM(AG245:AG257)</f>
        <v>70000</v>
      </c>
      <c r="AH258" s="183">
        <f t="shared" si="327"/>
        <v>-25029.456249999999</v>
      </c>
      <c r="AI258" s="183">
        <f t="shared" si="327"/>
        <v>44746.5</v>
      </c>
      <c r="AJ258" s="183">
        <f t="shared" si="327"/>
        <v>16558.5</v>
      </c>
      <c r="AK258" s="183">
        <f t="shared" si="327"/>
        <v>59799.125</v>
      </c>
      <c r="AL258" s="183">
        <f t="shared" si="327"/>
        <v>20698.125</v>
      </c>
      <c r="AM258" s="183">
        <f t="shared" si="327"/>
        <v>15052.625</v>
      </c>
      <c r="AN258" s="183">
        <f t="shared" si="327"/>
        <v>4139.625</v>
      </c>
      <c r="AO258" s="183">
        <f t="shared" si="327"/>
        <v>10165.924999999999</v>
      </c>
      <c r="AP258" s="183">
        <f t="shared" si="327"/>
        <v>4366.28125</v>
      </c>
      <c r="AQ258" s="183">
        <f t="shared" si="327"/>
        <v>132.5</v>
      </c>
      <c r="AR258" s="183">
        <f t="shared" si="327"/>
        <v>0</v>
      </c>
      <c r="AS258" s="183">
        <f t="shared" si="327"/>
        <v>0</v>
      </c>
      <c r="AT258" s="183">
        <f t="shared" si="327"/>
        <v>59799.125</v>
      </c>
      <c r="AU258" s="183">
        <f t="shared" si="327"/>
        <v>20698.125</v>
      </c>
      <c r="AV258" s="183">
        <f t="shared" si="327"/>
        <v>0</v>
      </c>
      <c r="AW258" s="183">
        <f>SUM(AW245:AW257)</f>
        <v>80497.25</v>
      </c>
      <c r="AX258" s="183">
        <f>SUM(AX245:AX257)</f>
        <v>0</v>
      </c>
      <c r="AY258" s="661"/>
      <c r="AZ258" s="661"/>
      <c r="BA258" s="661"/>
    </row>
    <row r="259" spans="2:53" s="76" customFormat="1" ht="33">
      <c r="B259" s="703"/>
      <c r="C259" s="220" t="s">
        <v>1581</v>
      </c>
      <c r="D259" s="192"/>
      <c r="E259" s="193"/>
      <c r="F259" s="193"/>
      <c r="G259" s="193"/>
      <c r="H259" s="731"/>
      <c r="I259" s="193"/>
      <c r="J259" s="731"/>
      <c r="K259" s="193"/>
      <c r="L259" s="193"/>
      <c r="M259" s="731"/>
      <c r="N259" s="193"/>
      <c r="O259" s="731"/>
      <c r="P259" s="193"/>
      <c r="Q259" s="193"/>
      <c r="R259" s="193"/>
      <c r="S259" s="193"/>
      <c r="T259" s="193"/>
      <c r="U259" s="193"/>
      <c r="V259" s="732"/>
      <c r="W259" s="193"/>
      <c r="X259" s="732"/>
      <c r="Y259" s="732"/>
      <c r="Z259" s="193"/>
      <c r="AA259" s="193"/>
      <c r="AB259" s="795"/>
      <c r="AC259" s="195"/>
      <c r="AD259" s="195"/>
      <c r="AE259" s="195"/>
      <c r="AF259" s="195"/>
      <c r="AG259" s="195"/>
      <c r="AH259" s="195"/>
      <c r="AI259" s="203"/>
      <c r="AJ259" s="203"/>
      <c r="AK259" s="203"/>
      <c r="AL259" s="203"/>
      <c r="AM259" s="203"/>
      <c r="AN259" s="203"/>
      <c r="AO259" s="205"/>
      <c r="AP259" s="205"/>
      <c r="AQ259" s="205"/>
      <c r="AR259" s="205"/>
      <c r="AS259" s="205"/>
      <c r="AT259" s="209"/>
      <c r="AU259" s="209"/>
      <c r="AV259" s="203"/>
      <c r="AW259" s="251"/>
      <c r="AX259" s="251"/>
      <c r="AY259" s="661"/>
      <c r="AZ259" s="661"/>
      <c r="BA259" s="661"/>
    </row>
    <row r="260" spans="2:53" s="76" customFormat="1" ht="63">
      <c r="B260" s="703">
        <f>B257+1</f>
        <v>178</v>
      </c>
      <c r="C260" s="197" t="s">
        <v>1080</v>
      </c>
      <c r="D260" s="198" t="s">
        <v>1865</v>
      </c>
      <c r="E260" s="703" t="s">
        <v>1112</v>
      </c>
      <c r="F260" s="703">
        <v>9</v>
      </c>
      <c r="G260" s="199">
        <v>5527</v>
      </c>
      <c r="H260" s="737">
        <v>0.1</v>
      </c>
      <c r="I260" s="703">
        <f>G260*H260</f>
        <v>552.70000000000005</v>
      </c>
      <c r="J260" s="736"/>
      <c r="K260" s="199"/>
      <c r="L260" s="199"/>
      <c r="M260" s="736"/>
      <c r="N260" s="199"/>
      <c r="O260" s="736"/>
      <c r="P260" s="199"/>
      <c r="Q260" s="199"/>
      <c r="R260" s="199">
        <f>G260+I260+K260+L260+N260+P260+Q260</f>
        <v>6079.7</v>
      </c>
      <c r="S260" s="199">
        <v>1</v>
      </c>
      <c r="T260" s="199"/>
      <c r="U260" s="199"/>
      <c r="V260" s="736"/>
      <c r="W260" s="199"/>
      <c r="X260" s="718">
        <v>33</v>
      </c>
      <c r="Y260" s="737">
        <v>0.3</v>
      </c>
      <c r="Z260" s="199">
        <f t="shared" ref="Z260:Z266" si="328">R260*Y260</f>
        <v>1823.9099999999999</v>
      </c>
      <c r="AA260" s="199">
        <f>AH260</f>
        <v>96.390000000000327</v>
      </c>
      <c r="AB260" s="796">
        <f t="shared" ref="AB260:AB266" si="329">(R260+Z260)*S260+AA260</f>
        <v>8000</v>
      </c>
      <c r="AC260" s="738">
        <f t="shared" ref="AC260:AC266" si="330">AF260</f>
        <v>5500</v>
      </c>
      <c r="AD260" s="738">
        <f t="shared" ref="AD260:AD266" si="331">AB260+AC260</f>
        <v>13500</v>
      </c>
      <c r="AE260" s="202">
        <f t="shared" ref="AE260:AE266" si="332">13500*S260</f>
        <v>13500</v>
      </c>
      <c r="AF260" s="202">
        <f t="shared" ref="AF260:AF266" si="333">AE260-AB260</f>
        <v>5500</v>
      </c>
      <c r="AG260" s="738">
        <f t="shared" ref="AG260:AG266" si="334">8000*S260</f>
        <v>8000</v>
      </c>
      <c r="AH260" s="202">
        <f>AG260-(R260+Z260)*S260</f>
        <v>96.390000000000327</v>
      </c>
      <c r="AI260" s="203">
        <f t="shared" ref="AI260:AI266" si="335">G260*S260</f>
        <v>5527</v>
      </c>
      <c r="AJ260" s="203">
        <f t="shared" ref="AJ260:AJ266" si="336">G260*T260</f>
        <v>0</v>
      </c>
      <c r="AK260" s="203">
        <f t="shared" ref="AK260:AK266" si="337">R260*S260</f>
        <v>6079.7</v>
      </c>
      <c r="AL260" s="203">
        <f t="shared" ref="AL260:AL266" si="338">R260*T260</f>
        <v>0</v>
      </c>
      <c r="AM260" s="203">
        <f t="shared" ref="AM260:AN266" si="339">AK260-AI260</f>
        <v>552.69999999999982</v>
      </c>
      <c r="AN260" s="203">
        <f t="shared" si="339"/>
        <v>0</v>
      </c>
      <c r="AO260" s="205">
        <f t="shared" ref="AO260:AO266" si="340">Z260*S260</f>
        <v>1823.9099999999999</v>
      </c>
      <c r="AP260" s="205">
        <f t="shared" ref="AP260:AP266" si="341">Z260*T260</f>
        <v>0</v>
      </c>
      <c r="AQ260" s="205">
        <f t="shared" ref="AQ260:AQ266" si="342">AA260</f>
        <v>96.390000000000327</v>
      </c>
      <c r="AR260" s="205">
        <f t="shared" ref="AR260:AR266" si="343">W260*S260</f>
        <v>0</v>
      </c>
      <c r="AS260" s="205">
        <f t="shared" ref="AS260:AS266" si="344">W260*T260</f>
        <v>0</v>
      </c>
      <c r="AT260" s="209">
        <f t="shared" si="277"/>
        <v>6079.7</v>
      </c>
      <c r="AU260" s="209">
        <f t="shared" si="277"/>
        <v>0</v>
      </c>
      <c r="AV260" s="203"/>
      <c r="AW260" s="251">
        <f>R260*S260</f>
        <v>6079.7</v>
      </c>
      <c r="AX260" s="251"/>
      <c r="AY260" s="661"/>
      <c r="AZ260" s="661"/>
      <c r="BA260" s="661"/>
    </row>
    <row r="261" spans="2:53" s="76" customFormat="1" ht="63">
      <c r="B261" s="703">
        <f t="shared" si="271"/>
        <v>179</v>
      </c>
      <c r="C261" s="197" t="s">
        <v>1064</v>
      </c>
      <c r="D261" s="198" t="s">
        <v>1102</v>
      </c>
      <c r="E261" s="703" t="s">
        <v>1103</v>
      </c>
      <c r="F261" s="703">
        <v>9</v>
      </c>
      <c r="G261" s="199">
        <v>5527</v>
      </c>
      <c r="H261" s="736"/>
      <c r="I261" s="199"/>
      <c r="J261" s="737"/>
      <c r="K261" s="201"/>
      <c r="L261" s="201"/>
      <c r="M261" s="736"/>
      <c r="N261" s="199"/>
      <c r="O261" s="736"/>
      <c r="P261" s="206"/>
      <c r="Q261" s="206"/>
      <c r="R261" s="199">
        <f t="shared" ref="R261:R266" si="345">G261+I261+K261+L261+N261+P261+Q261</f>
        <v>5527</v>
      </c>
      <c r="S261" s="199">
        <v>1</v>
      </c>
      <c r="T261" s="199"/>
      <c r="U261" s="206"/>
      <c r="V261" s="741"/>
      <c r="W261" s="206"/>
      <c r="X261" s="718">
        <v>32</v>
      </c>
      <c r="Y261" s="737">
        <v>0.3</v>
      </c>
      <c r="Z261" s="199">
        <f t="shared" si="328"/>
        <v>1658.1</v>
      </c>
      <c r="AA261" s="199">
        <f t="shared" ref="AA261:AA266" si="346">AH261</f>
        <v>814.89999999999964</v>
      </c>
      <c r="AB261" s="796">
        <f t="shared" si="329"/>
        <v>8000</v>
      </c>
      <c r="AC261" s="738">
        <f t="shared" si="330"/>
        <v>5500</v>
      </c>
      <c r="AD261" s="738">
        <f t="shared" si="331"/>
        <v>13500</v>
      </c>
      <c r="AE261" s="202">
        <f t="shared" si="332"/>
        <v>13500</v>
      </c>
      <c r="AF261" s="202">
        <f t="shared" si="333"/>
        <v>5500</v>
      </c>
      <c r="AG261" s="738">
        <f t="shared" si="334"/>
        <v>8000</v>
      </c>
      <c r="AH261" s="202">
        <f t="shared" ref="AH261:AH266" si="347">AG261-(R261+Z261)*S261</f>
        <v>814.89999999999964</v>
      </c>
      <c r="AI261" s="203">
        <f t="shared" si="335"/>
        <v>5527</v>
      </c>
      <c r="AJ261" s="203">
        <f t="shared" si="336"/>
        <v>0</v>
      </c>
      <c r="AK261" s="203">
        <f t="shared" si="337"/>
        <v>5527</v>
      </c>
      <c r="AL261" s="203">
        <f t="shared" si="338"/>
        <v>0</v>
      </c>
      <c r="AM261" s="203">
        <f t="shared" si="339"/>
        <v>0</v>
      </c>
      <c r="AN261" s="203">
        <f t="shared" si="339"/>
        <v>0</v>
      </c>
      <c r="AO261" s="205">
        <f t="shared" si="340"/>
        <v>1658.1</v>
      </c>
      <c r="AP261" s="205">
        <f t="shared" si="341"/>
        <v>0</v>
      </c>
      <c r="AQ261" s="205">
        <f t="shared" si="342"/>
        <v>814.89999999999964</v>
      </c>
      <c r="AR261" s="205">
        <f t="shared" si="343"/>
        <v>0</v>
      </c>
      <c r="AS261" s="205">
        <f t="shared" si="344"/>
        <v>0</v>
      </c>
      <c r="AT261" s="209">
        <f t="shared" si="277"/>
        <v>5527</v>
      </c>
      <c r="AU261" s="209">
        <f t="shared" si="277"/>
        <v>0</v>
      </c>
      <c r="AV261" s="203"/>
      <c r="AW261" s="251">
        <f t="shared" ref="AW261:AW266" si="348">R261*S261</f>
        <v>5527</v>
      </c>
      <c r="AX261" s="251"/>
      <c r="AY261" s="661"/>
      <c r="AZ261" s="661"/>
      <c r="BA261" s="661"/>
    </row>
    <row r="262" spans="2:53" s="76" customFormat="1" ht="63">
      <c r="B262" s="703">
        <f t="shared" si="271"/>
        <v>180</v>
      </c>
      <c r="C262" s="197" t="s">
        <v>1064</v>
      </c>
      <c r="D262" s="198" t="s">
        <v>1104</v>
      </c>
      <c r="E262" s="703" t="s">
        <v>1105</v>
      </c>
      <c r="F262" s="703">
        <v>9</v>
      </c>
      <c r="G262" s="199">
        <v>5527</v>
      </c>
      <c r="H262" s="736"/>
      <c r="I262" s="199"/>
      <c r="J262" s="736"/>
      <c r="K262" s="199"/>
      <c r="L262" s="199"/>
      <c r="M262" s="736"/>
      <c r="N262" s="199"/>
      <c r="O262" s="736"/>
      <c r="P262" s="199"/>
      <c r="Q262" s="199"/>
      <c r="R262" s="199">
        <f t="shared" si="345"/>
        <v>5527</v>
      </c>
      <c r="S262" s="199">
        <f>0.5+0.5</f>
        <v>1</v>
      </c>
      <c r="T262" s="206"/>
      <c r="U262" s="206"/>
      <c r="V262" s="741"/>
      <c r="W262" s="206"/>
      <c r="X262" s="718">
        <v>37</v>
      </c>
      <c r="Y262" s="737">
        <v>0.3</v>
      </c>
      <c r="Z262" s="199">
        <f t="shared" si="328"/>
        <v>1658.1</v>
      </c>
      <c r="AA262" s="199">
        <f t="shared" si="346"/>
        <v>814.89999999999964</v>
      </c>
      <c r="AB262" s="796">
        <f t="shared" si="329"/>
        <v>8000</v>
      </c>
      <c r="AC262" s="738">
        <f>AF262</f>
        <v>5500</v>
      </c>
      <c r="AD262" s="738">
        <f>AB262+AC262</f>
        <v>13500</v>
      </c>
      <c r="AE262" s="202">
        <f>13500*S262</f>
        <v>13500</v>
      </c>
      <c r="AF262" s="202">
        <f>AE262-AB262</f>
        <v>5500</v>
      </c>
      <c r="AG262" s="738">
        <f t="shared" si="334"/>
        <v>8000</v>
      </c>
      <c r="AH262" s="202">
        <f t="shared" si="347"/>
        <v>814.89999999999964</v>
      </c>
      <c r="AI262" s="203">
        <f t="shared" si="335"/>
        <v>5527</v>
      </c>
      <c r="AJ262" s="203">
        <f t="shared" si="336"/>
        <v>0</v>
      </c>
      <c r="AK262" s="203">
        <f t="shared" si="337"/>
        <v>5527</v>
      </c>
      <c r="AL262" s="203">
        <f t="shared" si="338"/>
        <v>0</v>
      </c>
      <c r="AM262" s="203">
        <f t="shared" si="339"/>
        <v>0</v>
      </c>
      <c r="AN262" s="203">
        <f t="shared" si="339"/>
        <v>0</v>
      </c>
      <c r="AO262" s="205">
        <f t="shared" si="340"/>
        <v>1658.1</v>
      </c>
      <c r="AP262" s="205">
        <f t="shared" si="341"/>
        <v>0</v>
      </c>
      <c r="AQ262" s="205">
        <f t="shared" si="342"/>
        <v>814.89999999999964</v>
      </c>
      <c r="AR262" s="205">
        <f t="shared" si="343"/>
        <v>0</v>
      </c>
      <c r="AS262" s="205">
        <f t="shared" si="344"/>
        <v>0</v>
      </c>
      <c r="AT262" s="209">
        <f t="shared" si="277"/>
        <v>5527</v>
      </c>
      <c r="AU262" s="209">
        <f t="shared" si="277"/>
        <v>0</v>
      </c>
      <c r="AV262" s="203"/>
      <c r="AW262" s="251">
        <f t="shared" si="348"/>
        <v>5527</v>
      </c>
      <c r="AX262" s="251"/>
      <c r="AY262" s="661"/>
      <c r="AZ262" s="661"/>
      <c r="BA262" s="661"/>
    </row>
    <row r="263" spans="2:53" s="76" customFormat="1" ht="87.75">
      <c r="B263" s="703">
        <f t="shared" si="271"/>
        <v>181</v>
      </c>
      <c r="C263" s="197" t="s">
        <v>1064</v>
      </c>
      <c r="D263" s="198" t="s">
        <v>188</v>
      </c>
      <c r="E263" s="703" t="s">
        <v>1101</v>
      </c>
      <c r="F263" s="703">
        <v>9</v>
      </c>
      <c r="G263" s="199">
        <v>5527</v>
      </c>
      <c r="H263" s="736"/>
      <c r="I263" s="199"/>
      <c r="J263" s="736"/>
      <c r="K263" s="199"/>
      <c r="L263" s="199"/>
      <c r="M263" s="736"/>
      <c r="N263" s="199"/>
      <c r="O263" s="736"/>
      <c r="P263" s="199"/>
      <c r="Q263" s="199"/>
      <c r="R263" s="199">
        <f t="shared" si="345"/>
        <v>5527</v>
      </c>
      <c r="S263" s="199">
        <v>1</v>
      </c>
      <c r="T263" s="199"/>
      <c r="U263" s="199"/>
      <c r="V263" s="736"/>
      <c r="W263" s="199"/>
      <c r="X263" s="718">
        <v>30</v>
      </c>
      <c r="Y263" s="737">
        <v>0.3</v>
      </c>
      <c r="Z263" s="199">
        <f t="shared" si="328"/>
        <v>1658.1</v>
      </c>
      <c r="AA263" s="199">
        <f t="shared" si="346"/>
        <v>814.89999999999964</v>
      </c>
      <c r="AB263" s="796">
        <f t="shared" si="329"/>
        <v>8000</v>
      </c>
      <c r="AC263" s="738">
        <f>AF263</f>
        <v>5500</v>
      </c>
      <c r="AD263" s="738">
        <f>AB263+AC263</f>
        <v>13500</v>
      </c>
      <c r="AE263" s="202">
        <f>13500*S263</f>
        <v>13500</v>
      </c>
      <c r="AF263" s="202">
        <f>AE263-AB263</f>
        <v>5500</v>
      </c>
      <c r="AG263" s="738">
        <f t="shared" si="334"/>
        <v>8000</v>
      </c>
      <c r="AH263" s="202">
        <f t="shared" si="347"/>
        <v>814.89999999999964</v>
      </c>
      <c r="AI263" s="203">
        <f t="shared" si="335"/>
        <v>5527</v>
      </c>
      <c r="AJ263" s="203">
        <f t="shared" si="336"/>
        <v>0</v>
      </c>
      <c r="AK263" s="203">
        <f t="shared" si="337"/>
        <v>5527</v>
      </c>
      <c r="AL263" s="203">
        <f t="shared" si="338"/>
        <v>0</v>
      </c>
      <c r="AM263" s="203">
        <f t="shared" si="339"/>
        <v>0</v>
      </c>
      <c r="AN263" s="203">
        <f t="shared" si="339"/>
        <v>0</v>
      </c>
      <c r="AO263" s="205">
        <f t="shared" si="340"/>
        <v>1658.1</v>
      </c>
      <c r="AP263" s="205">
        <f t="shared" si="341"/>
        <v>0</v>
      </c>
      <c r="AQ263" s="205">
        <f t="shared" si="342"/>
        <v>814.89999999999964</v>
      </c>
      <c r="AR263" s="205">
        <f t="shared" si="343"/>
        <v>0</v>
      </c>
      <c r="AS263" s="205">
        <f t="shared" si="344"/>
        <v>0</v>
      </c>
      <c r="AT263" s="209">
        <f t="shared" si="277"/>
        <v>5527</v>
      </c>
      <c r="AU263" s="209">
        <f t="shared" si="277"/>
        <v>0</v>
      </c>
      <c r="AV263" s="203"/>
      <c r="AW263" s="251">
        <f t="shared" si="348"/>
        <v>5527</v>
      </c>
      <c r="AX263" s="251"/>
      <c r="AY263" s="661"/>
      <c r="AZ263" s="661"/>
      <c r="BA263" s="661"/>
    </row>
    <row r="264" spans="2:53" s="76" customFormat="1" ht="87.75">
      <c r="B264" s="703">
        <f t="shared" si="271"/>
        <v>182</v>
      </c>
      <c r="C264" s="197" t="s">
        <v>1064</v>
      </c>
      <c r="D264" s="198" t="s">
        <v>189</v>
      </c>
      <c r="E264" s="703" t="s">
        <v>1137</v>
      </c>
      <c r="F264" s="703">
        <v>9</v>
      </c>
      <c r="G264" s="199">
        <v>5527</v>
      </c>
      <c r="H264" s="736"/>
      <c r="I264" s="199"/>
      <c r="J264" s="736"/>
      <c r="K264" s="199"/>
      <c r="L264" s="199"/>
      <c r="M264" s="736"/>
      <c r="N264" s="199"/>
      <c r="O264" s="736"/>
      <c r="P264" s="199"/>
      <c r="Q264" s="199"/>
      <c r="R264" s="199">
        <f t="shared" si="345"/>
        <v>5527</v>
      </c>
      <c r="S264" s="199">
        <v>1</v>
      </c>
      <c r="T264" s="199"/>
      <c r="U264" s="199"/>
      <c r="V264" s="736"/>
      <c r="W264" s="199"/>
      <c r="X264" s="718">
        <v>34</v>
      </c>
      <c r="Y264" s="737">
        <v>0.3</v>
      </c>
      <c r="Z264" s="199">
        <f t="shared" si="328"/>
        <v>1658.1</v>
      </c>
      <c r="AA264" s="199">
        <f t="shared" si="346"/>
        <v>814.89999999999964</v>
      </c>
      <c r="AB264" s="796">
        <f t="shared" si="329"/>
        <v>8000</v>
      </c>
      <c r="AC264" s="738">
        <f>AF264</f>
        <v>5500</v>
      </c>
      <c r="AD264" s="738">
        <f>AB264+AC264</f>
        <v>13500</v>
      </c>
      <c r="AE264" s="202">
        <f>13500*S264</f>
        <v>13500</v>
      </c>
      <c r="AF264" s="202">
        <f>AE264-AB264</f>
        <v>5500</v>
      </c>
      <c r="AG264" s="738">
        <f t="shared" si="334"/>
        <v>8000</v>
      </c>
      <c r="AH264" s="202">
        <f t="shared" si="347"/>
        <v>814.89999999999964</v>
      </c>
      <c r="AI264" s="203">
        <f t="shared" si="335"/>
        <v>5527</v>
      </c>
      <c r="AJ264" s="203">
        <f t="shared" si="336"/>
        <v>0</v>
      </c>
      <c r="AK264" s="203">
        <f t="shared" si="337"/>
        <v>5527</v>
      </c>
      <c r="AL264" s="203">
        <f t="shared" si="338"/>
        <v>0</v>
      </c>
      <c r="AM264" s="203">
        <f t="shared" si="339"/>
        <v>0</v>
      </c>
      <c r="AN264" s="203">
        <f t="shared" si="339"/>
        <v>0</v>
      </c>
      <c r="AO264" s="205">
        <f t="shared" si="340"/>
        <v>1658.1</v>
      </c>
      <c r="AP264" s="205">
        <f t="shared" si="341"/>
        <v>0</v>
      </c>
      <c r="AQ264" s="205">
        <f t="shared" si="342"/>
        <v>814.89999999999964</v>
      </c>
      <c r="AR264" s="205">
        <f t="shared" si="343"/>
        <v>0</v>
      </c>
      <c r="AS264" s="205">
        <f t="shared" si="344"/>
        <v>0</v>
      </c>
      <c r="AT264" s="209">
        <f t="shared" si="277"/>
        <v>5527</v>
      </c>
      <c r="AU264" s="209">
        <f t="shared" si="277"/>
        <v>0</v>
      </c>
      <c r="AV264" s="203"/>
      <c r="AW264" s="251">
        <f t="shared" si="348"/>
        <v>5527</v>
      </c>
      <c r="AX264" s="251"/>
      <c r="AY264" s="661"/>
      <c r="AZ264" s="661"/>
      <c r="BA264" s="661"/>
    </row>
    <row r="265" spans="2:53" s="76" customFormat="1" ht="63">
      <c r="B265" s="703">
        <f t="shared" si="271"/>
        <v>183</v>
      </c>
      <c r="C265" s="197" t="s">
        <v>1064</v>
      </c>
      <c r="D265" s="198" t="s">
        <v>1368</v>
      </c>
      <c r="E265" s="703" t="s">
        <v>1106</v>
      </c>
      <c r="F265" s="703">
        <v>9</v>
      </c>
      <c r="G265" s="199">
        <v>5527</v>
      </c>
      <c r="H265" s="736"/>
      <c r="I265" s="199"/>
      <c r="J265" s="736"/>
      <c r="K265" s="199"/>
      <c r="L265" s="199"/>
      <c r="M265" s="736"/>
      <c r="N265" s="199"/>
      <c r="O265" s="736"/>
      <c r="P265" s="199"/>
      <c r="Q265" s="199"/>
      <c r="R265" s="199">
        <f t="shared" si="345"/>
        <v>5527</v>
      </c>
      <c r="S265" s="199">
        <v>1</v>
      </c>
      <c r="T265" s="199"/>
      <c r="U265" s="199"/>
      <c r="V265" s="736"/>
      <c r="W265" s="199"/>
      <c r="X265" s="718">
        <v>33</v>
      </c>
      <c r="Y265" s="737">
        <v>0.3</v>
      </c>
      <c r="Z265" s="199">
        <f t="shared" si="328"/>
        <v>1658.1</v>
      </c>
      <c r="AA265" s="199">
        <f t="shared" si="346"/>
        <v>814.89999999999964</v>
      </c>
      <c r="AB265" s="796">
        <f t="shared" si="329"/>
        <v>8000</v>
      </c>
      <c r="AC265" s="738">
        <f>AF265</f>
        <v>5500</v>
      </c>
      <c r="AD265" s="738">
        <f>AB265+AC265</f>
        <v>13500</v>
      </c>
      <c r="AE265" s="202">
        <f>13500*S265</f>
        <v>13500</v>
      </c>
      <c r="AF265" s="202">
        <f>AE265-AB265</f>
        <v>5500</v>
      </c>
      <c r="AG265" s="738">
        <f t="shared" si="334"/>
        <v>8000</v>
      </c>
      <c r="AH265" s="202">
        <f t="shared" si="347"/>
        <v>814.89999999999964</v>
      </c>
      <c r="AI265" s="203">
        <f t="shared" si="335"/>
        <v>5527</v>
      </c>
      <c r="AJ265" s="203">
        <f t="shared" si="336"/>
        <v>0</v>
      </c>
      <c r="AK265" s="203">
        <f t="shared" si="337"/>
        <v>5527</v>
      </c>
      <c r="AL265" s="203">
        <f t="shared" si="338"/>
        <v>0</v>
      </c>
      <c r="AM265" s="203">
        <f t="shared" si="339"/>
        <v>0</v>
      </c>
      <c r="AN265" s="203">
        <f t="shared" si="339"/>
        <v>0</v>
      </c>
      <c r="AO265" s="205">
        <f t="shared" si="340"/>
        <v>1658.1</v>
      </c>
      <c r="AP265" s="205">
        <f t="shared" si="341"/>
        <v>0</v>
      </c>
      <c r="AQ265" s="205">
        <f t="shared" si="342"/>
        <v>814.89999999999964</v>
      </c>
      <c r="AR265" s="205">
        <f t="shared" si="343"/>
        <v>0</v>
      </c>
      <c r="AS265" s="205">
        <f t="shared" si="344"/>
        <v>0</v>
      </c>
      <c r="AT265" s="209">
        <f t="shared" si="277"/>
        <v>5527</v>
      </c>
      <c r="AU265" s="209">
        <f t="shared" si="277"/>
        <v>0</v>
      </c>
      <c r="AV265" s="203"/>
      <c r="AW265" s="251">
        <f t="shared" si="348"/>
        <v>5527</v>
      </c>
      <c r="AX265" s="251"/>
      <c r="AY265" s="661"/>
      <c r="AZ265" s="661"/>
      <c r="BA265" s="661"/>
    </row>
    <row r="266" spans="2:53" s="76" customFormat="1" ht="94.5">
      <c r="B266" s="703">
        <f t="shared" si="271"/>
        <v>184</v>
      </c>
      <c r="C266" s="197" t="s">
        <v>1139</v>
      </c>
      <c r="D266" s="198" t="s">
        <v>1140</v>
      </c>
      <c r="E266" s="703" t="s">
        <v>1141</v>
      </c>
      <c r="F266" s="703">
        <v>10</v>
      </c>
      <c r="G266" s="199">
        <v>5815</v>
      </c>
      <c r="H266" s="736"/>
      <c r="I266" s="199"/>
      <c r="J266" s="736"/>
      <c r="K266" s="199"/>
      <c r="L266" s="199"/>
      <c r="M266" s="736"/>
      <c r="N266" s="199"/>
      <c r="O266" s="736"/>
      <c r="P266" s="199"/>
      <c r="Q266" s="199"/>
      <c r="R266" s="199">
        <f t="shared" si="345"/>
        <v>5815</v>
      </c>
      <c r="S266" s="199">
        <v>1</v>
      </c>
      <c r="T266" s="199"/>
      <c r="U266" s="199"/>
      <c r="V266" s="736"/>
      <c r="W266" s="199"/>
      <c r="X266" s="718">
        <v>39</v>
      </c>
      <c r="Y266" s="737">
        <v>0.3</v>
      </c>
      <c r="Z266" s="199">
        <f t="shared" si="328"/>
        <v>1744.5</v>
      </c>
      <c r="AA266" s="199">
        <f t="shared" si="346"/>
        <v>440.5</v>
      </c>
      <c r="AB266" s="796">
        <f t="shared" si="329"/>
        <v>8000</v>
      </c>
      <c r="AC266" s="738">
        <f t="shared" si="330"/>
        <v>5500</v>
      </c>
      <c r="AD266" s="738">
        <f t="shared" si="331"/>
        <v>13500</v>
      </c>
      <c r="AE266" s="202">
        <f t="shared" si="332"/>
        <v>13500</v>
      </c>
      <c r="AF266" s="202">
        <f t="shared" si="333"/>
        <v>5500</v>
      </c>
      <c r="AG266" s="738">
        <f t="shared" si="334"/>
        <v>8000</v>
      </c>
      <c r="AH266" s="202">
        <f t="shared" si="347"/>
        <v>440.5</v>
      </c>
      <c r="AI266" s="203">
        <f t="shared" si="335"/>
        <v>5815</v>
      </c>
      <c r="AJ266" s="203">
        <f t="shared" si="336"/>
        <v>0</v>
      </c>
      <c r="AK266" s="203">
        <f t="shared" si="337"/>
        <v>5815</v>
      </c>
      <c r="AL266" s="203">
        <f t="shared" si="338"/>
        <v>0</v>
      </c>
      <c r="AM266" s="203">
        <f t="shared" si="339"/>
        <v>0</v>
      </c>
      <c r="AN266" s="203">
        <f t="shared" si="339"/>
        <v>0</v>
      </c>
      <c r="AO266" s="205">
        <f t="shared" si="340"/>
        <v>1744.5</v>
      </c>
      <c r="AP266" s="205">
        <f t="shared" si="341"/>
        <v>0</v>
      </c>
      <c r="AQ266" s="205">
        <f t="shared" si="342"/>
        <v>440.5</v>
      </c>
      <c r="AR266" s="205">
        <f t="shared" si="343"/>
        <v>0</v>
      </c>
      <c r="AS266" s="205">
        <f t="shared" si="344"/>
        <v>0</v>
      </c>
      <c r="AT266" s="209">
        <f t="shared" si="277"/>
        <v>5815</v>
      </c>
      <c r="AU266" s="209">
        <f t="shared" si="277"/>
        <v>0</v>
      </c>
      <c r="AV266" s="203"/>
      <c r="AW266" s="251">
        <f t="shared" si="348"/>
        <v>5815</v>
      </c>
      <c r="AX266" s="251"/>
      <c r="AY266" s="661"/>
      <c r="AZ266" s="661"/>
      <c r="BA266" s="661"/>
    </row>
    <row r="267" spans="2:53" s="76" customFormat="1" ht="31.5">
      <c r="B267" s="703"/>
      <c r="C267" s="180" t="s">
        <v>1736</v>
      </c>
      <c r="D267" s="207"/>
      <c r="E267" s="193"/>
      <c r="F267" s="193"/>
      <c r="G267" s="183">
        <f>SUM(G260:G266)</f>
        <v>38977</v>
      </c>
      <c r="H267" s="752"/>
      <c r="I267" s="183">
        <f>SUM(I260:I266)</f>
        <v>552.70000000000005</v>
      </c>
      <c r="J267" s="731"/>
      <c r="K267" s="193"/>
      <c r="L267" s="193"/>
      <c r="M267" s="731"/>
      <c r="N267" s="193"/>
      <c r="O267" s="731"/>
      <c r="P267" s="193"/>
      <c r="Q267" s="193"/>
      <c r="R267" s="183">
        <f>SUM(R260:R266)</f>
        <v>39529.699999999997</v>
      </c>
      <c r="S267" s="183">
        <f>SUM(S260:S266)</f>
        <v>7</v>
      </c>
      <c r="T267" s="183">
        <f>SUM(T260:T266)</f>
        <v>0</v>
      </c>
      <c r="U267" s="183"/>
      <c r="V267" s="742"/>
      <c r="W267" s="183"/>
      <c r="X267" s="742"/>
      <c r="Y267" s="742"/>
      <c r="Z267" s="183">
        <f t="shared" ref="Z267:AV267" si="349">SUM(Z260:Z266)</f>
        <v>11858.91</v>
      </c>
      <c r="AA267" s="183">
        <f t="shared" si="349"/>
        <v>4611.3899999999985</v>
      </c>
      <c r="AB267" s="797">
        <f t="shared" si="349"/>
        <v>56000</v>
      </c>
      <c r="AC267" s="183">
        <f>SUM(AC260:AC266)</f>
        <v>38500</v>
      </c>
      <c r="AD267" s="183">
        <f>SUM(AD260:AD266)</f>
        <v>94500</v>
      </c>
      <c r="AE267" s="183">
        <f t="shared" si="349"/>
        <v>94500</v>
      </c>
      <c r="AF267" s="183">
        <f t="shared" si="349"/>
        <v>38500</v>
      </c>
      <c r="AG267" s="183">
        <f t="shared" si="349"/>
        <v>56000</v>
      </c>
      <c r="AH267" s="183">
        <f t="shared" si="349"/>
        <v>4611.3899999999985</v>
      </c>
      <c r="AI267" s="183">
        <f t="shared" si="349"/>
        <v>38977</v>
      </c>
      <c r="AJ267" s="183">
        <f t="shared" si="349"/>
        <v>0</v>
      </c>
      <c r="AK267" s="183">
        <f t="shared" si="349"/>
        <v>39529.699999999997</v>
      </c>
      <c r="AL267" s="183">
        <f t="shared" si="349"/>
        <v>0</v>
      </c>
      <c r="AM267" s="183">
        <f t="shared" si="349"/>
        <v>552.69999999999982</v>
      </c>
      <c r="AN267" s="183">
        <f t="shared" si="349"/>
        <v>0</v>
      </c>
      <c r="AO267" s="183">
        <f t="shared" si="349"/>
        <v>11858.91</v>
      </c>
      <c r="AP267" s="183">
        <f t="shared" si="349"/>
        <v>0</v>
      </c>
      <c r="AQ267" s="183">
        <f t="shared" si="349"/>
        <v>4611.3899999999985</v>
      </c>
      <c r="AR267" s="183">
        <f t="shared" si="349"/>
        <v>0</v>
      </c>
      <c r="AS267" s="183">
        <f t="shared" si="349"/>
        <v>0</v>
      </c>
      <c r="AT267" s="183">
        <f t="shared" si="349"/>
        <v>39529.699999999997</v>
      </c>
      <c r="AU267" s="183">
        <f t="shared" si="349"/>
        <v>0</v>
      </c>
      <c r="AV267" s="183">
        <f t="shared" si="349"/>
        <v>0</v>
      </c>
      <c r="AW267" s="183">
        <f>SUM(AW260:AW266)</f>
        <v>39529.699999999997</v>
      </c>
      <c r="AX267" s="183">
        <f>SUM(AX260:AX266)</f>
        <v>0</v>
      </c>
      <c r="AY267" s="661"/>
      <c r="AZ267" s="661"/>
      <c r="BA267" s="661"/>
    </row>
    <row r="268" spans="2:53" s="76" customFormat="1" ht="33">
      <c r="B268" s="703"/>
      <c r="C268" s="191" t="s">
        <v>1153</v>
      </c>
      <c r="D268" s="192"/>
      <c r="E268" s="193"/>
      <c r="F268" s="193"/>
      <c r="G268" s="193"/>
      <c r="H268" s="731"/>
      <c r="I268" s="193"/>
      <c r="J268" s="731"/>
      <c r="K268" s="193"/>
      <c r="L268" s="193"/>
      <c r="M268" s="731"/>
      <c r="N268" s="193"/>
      <c r="O268" s="731"/>
      <c r="P268" s="193"/>
      <c r="Q268" s="193"/>
      <c r="R268" s="193"/>
      <c r="S268" s="193"/>
      <c r="T268" s="193"/>
      <c r="U268" s="193"/>
      <c r="V268" s="732"/>
      <c r="W268" s="193"/>
      <c r="X268" s="732"/>
      <c r="Y268" s="732"/>
      <c r="Z268" s="193"/>
      <c r="AA268" s="193"/>
      <c r="AB268" s="795"/>
      <c r="AC268" s="195"/>
      <c r="AD268" s="195"/>
      <c r="AE268" s="195"/>
      <c r="AF268" s="195"/>
      <c r="AG268" s="195"/>
      <c r="AH268" s="195"/>
      <c r="AI268" s="203"/>
      <c r="AJ268" s="203"/>
      <c r="AK268" s="203"/>
      <c r="AL268" s="203"/>
      <c r="AM268" s="203"/>
      <c r="AN268" s="203"/>
      <c r="AO268" s="205"/>
      <c r="AP268" s="205"/>
      <c r="AQ268" s="205"/>
      <c r="AR268" s="205"/>
      <c r="AS268" s="205"/>
      <c r="AT268" s="209"/>
      <c r="AU268" s="209"/>
      <c r="AV268" s="203"/>
      <c r="AW268" s="251"/>
      <c r="AX268" s="251"/>
      <c r="AY268" s="661"/>
      <c r="AZ268" s="661"/>
      <c r="BA268" s="661"/>
    </row>
    <row r="269" spans="2:53" s="76" customFormat="1" ht="87.75">
      <c r="B269" s="703">
        <f>B266+1</f>
        <v>185</v>
      </c>
      <c r="C269" s="197" t="s">
        <v>1154</v>
      </c>
      <c r="D269" s="198" t="s">
        <v>190</v>
      </c>
      <c r="E269" s="703" t="s">
        <v>191</v>
      </c>
      <c r="F269" s="703">
        <v>9</v>
      </c>
      <c r="G269" s="199">
        <v>5527</v>
      </c>
      <c r="H269" s="736"/>
      <c r="I269" s="199"/>
      <c r="J269" s="736"/>
      <c r="K269" s="199"/>
      <c r="L269" s="199"/>
      <c r="M269" s="736"/>
      <c r="N269" s="199"/>
      <c r="O269" s="736"/>
      <c r="P269" s="199"/>
      <c r="Q269" s="199"/>
      <c r="R269" s="199">
        <f>G269+I269+K269+L269+N269+P269+Q269</f>
        <v>5527</v>
      </c>
      <c r="S269" s="199">
        <v>1</v>
      </c>
      <c r="T269" s="199"/>
      <c r="U269" s="199"/>
      <c r="V269" s="736"/>
      <c r="W269" s="199"/>
      <c r="X269" s="718">
        <v>14</v>
      </c>
      <c r="Y269" s="737">
        <v>0.2</v>
      </c>
      <c r="Z269" s="199">
        <f>R269*Y269</f>
        <v>1105.4000000000001</v>
      </c>
      <c r="AA269" s="199">
        <f>AH269</f>
        <v>1367.6000000000004</v>
      </c>
      <c r="AB269" s="796">
        <f>(R269+Z269)*S269+AA269</f>
        <v>8000</v>
      </c>
      <c r="AC269" s="738">
        <f>AF269</f>
        <v>5500</v>
      </c>
      <c r="AD269" s="738">
        <f>AB269+AC269</f>
        <v>13500</v>
      </c>
      <c r="AE269" s="202">
        <f>13500*S269</f>
        <v>13500</v>
      </c>
      <c r="AF269" s="202">
        <f>AE269-AB269</f>
        <v>5500</v>
      </c>
      <c r="AG269" s="738">
        <f>8000*S269</f>
        <v>8000</v>
      </c>
      <c r="AH269" s="202">
        <f>AG269-(R269+Z269)*S269</f>
        <v>1367.6000000000004</v>
      </c>
      <c r="AI269" s="203">
        <f>G269*S269</f>
        <v>5527</v>
      </c>
      <c r="AJ269" s="203">
        <f>G269*T269</f>
        <v>0</v>
      </c>
      <c r="AK269" s="203">
        <f>R269*S269</f>
        <v>5527</v>
      </c>
      <c r="AL269" s="203">
        <f>R269*T269</f>
        <v>0</v>
      </c>
      <c r="AM269" s="203">
        <f t="shared" ref="AM269:AN272" si="350">AK269-AI269</f>
        <v>0</v>
      </c>
      <c r="AN269" s="203">
        <f t="shared" si="350"/>
        <v>0</v>
      </c>
      <c r="AO269" s="205">
        <f>Z269*S269</f>
        <v>1105.4000000000001</v>
      </c>
      <c r="AP269" s="205">
        <f>Z269*T269</f>
        <v>0</v>
      </c>
      <c r="AQ269" s="205">
        <f>AA269</f>
        <v>1367.6000000000004</v>
      </c>
      <c r="AR269" s="205">
        <f>W269*S269</f>
        <v>0</v>
      </c>
      <c r="AS269" s="205">
        <f>W269*T269</f>
        <v>0</v>
      </c>
      <c r="AT269" s="209">
        <f t="shared" si="277"/>
        <v>5527</v>
      </c>
      <c r="AU269" s="209">
        <f t="shared" si="277"/>
        <v>0</v>
      </c>
      <c r="AV269" s="203"/>
      <c r="AW269" s="251">
        <f>R269*S269</f>
        <v>5527</v>
      </c>
      <c r="AX269" s="251"/>
      <c r="AY269" s="661"/>
      <c r="AZ269" s="661"/>
      <c r="BA269" s="661"/>
    </row>
    <row r="270" spans="2:53" s="76" customFormat="1" ht="87.75">
      <c r="B270" s="703">
        <f t="shared" si="271"/>
        <v>186</v>
      </c>
      <c r="C270" s="197" t="s">
        <v>1154</v>
      </c>
      <c r="D270" s="198" t="s">
        <v>192</v>
      </c>
      <c r="E270" s="703" t="s">
        <v>1156</v>
      </c>
      <c r="F270" s="703">
        <v>10</v>
      </c>
      <c r="G270" s="199">
        <v>5815</v>
      </c>
      <c r="H270" s="736"/>
      <c r="I270" s="199"/>
      <c r="J270" s="736"/>
      <c r="K270" s="199"/>
      <c r="L270" s="199"/>
      <c r="M270" s="736"/>
      <c r="N270" s="199"/>
      <c r="O270" s="736"/>
      <c r="P270" s="199"/>
      <c r="Q270" s="199"/>
      <c r="R270" s="199">
        <f>G270+I270+K270+L270+N270+P270+Q270</f>
        <v>5815</v>
      </c>
      <c r="S270" s="199">
        <v>1</v>
      </c>
      <c r="T270" s="199"/>
      <c r="U270" s="199"/>
      <c r="V270" s="736"/>
      <c r="W270" s="199"/>
      <c r="X270" s="718">
        <v>38</v>
      </c>
      <c r="Y270" s="737">
        <v>0.3</v>
      </c>
      <c r="Z270" s="199">
        <f>R270*Y270</f>
        <v>1744.5</v>
      </c>
      <c r="AA270" s="199">
        <f>AH270</f>
        <v>440.5</v>
      </c>
      <c r="AB270" s="796">
        <f>(R270+Z270)*S270+AA270</f>
        <v>8000</v>
      </c>
      <c r="AC270" s="738">
        <f>AF270</f>
        <v>5500</v>
      </c>
      <c r="AD270" s="738">
        <f>AB270+AC270</f>
        <v>13500</v>
      </c>
      <c r="AE270" s="202">
        <f>13500*S270</f>
        <v>13500</v>
      </c>
      <c r="AF270" s="202">
        <f>AE270-AB270</f>
        <v>5500</v>
      </c>
      <c r="AG270" s="738">
        <f>8000*S270</f>
        <v>8000</v>
      </c>
      <c r="AH270" s="202">
        <f>AG270-(R270+Z270)*S270</f>
        <v>440.5</v>
      </c>
      <c r="AI270" s="203">
        <f>G270*S270</f>
        <v>5815</v>
      </c>
      <c r="AJ270" s="203">
        <f>G270*T270</f>
        <v>0</v>
      </c>
      <c r="AK270" s="203">
        <f>R270*S270</f>
        <v>5815</v>
      </c>
      <c r="AL270" s="203">
        <f>R270*T270</f>
        <v>0</v>
      </c>
      <c r="AM270" s="203">
        <f t="shared" si="350"/>
        <v>0</v>
      </c>
      <c r="AN270" s="203">
        <f t="shared" si="350"/>
        <v>0</v>
      </c>
      <c r="AO270" s="205">
        <f>Z270*S270</f>
        <v>1744.5</v>
      </c>
      <c r="AP270" s="205">
        <f>Z270*T270</f>
        <v>0</v>
      </c>
      <c r="AQ270" s="205">
        <f>AA270</f>
        <v>440.5</v>
      </c>
      <c r="AR270" s="205">
        <f>W270*S270</f>
        <v>0</v>
      </c>
      <c r="AS270" s="205">
        <f>W270*T270</f>
        <v>0</v>
      </c>
      <c r="AT270" s="209">
        <f t="shared" si="277"/>
        <v>5815</v>
      </c>
      <c r="AU270" s="209">
        <f t="shared" si="277"/>
        <v>0</v>
      </c>
      <c r="AV270" s="203"/>
      <c r="AW270" s="251">
        <f>R270*S270</f>
        <v>5815</v>
      </c>
      <c r="AX270" s="251"/>
      <c r="AY270" s="661"/>
      <c r="AZ270" s="661"/>
      <c r="BA270" s="661"/>
    </row>
    <row r="271" spans="2:53" s="76" customFormat="1" ht="87.75">
      <c r="B271" s="703">
        <f t="shared" si="271"/>
        <v>187</v>
      </c>
      <c r="C271" s="197" t="s">
        <v>1154</v>
      </c>
      <c r="D271" s="198" t="s">
        <v>1808</v>
      </c>
      <c r="E271" s="703" t="s">
        <v>1155</v>
      </c>
      <c r="F271" s="703">
        <v>10</v>
      </c>
      <c r="G271" s="199">
        <v>5815</v>
      </c>
      <c r="H271" s="736"/>
      <c r="I271" s="199"/>
      <c r="J271" s="736"/>
      <c r="K271" s="199"/>
      <c r="L271" s="199"/>
      <c r="M271" s="736"/>
      <c r="N271" s="199"/>
      <c r="O271" s="736"/>
      <c r="P271" s="199"/>
      <c r="Q271" s="206"/>
      <c r="R271" s="199">
        <f>G271+I271+K271+L271+N271+P271+Q271</f>
        <v>5815</v>
      </c>
      <c r="S271" s="199">
        <v>1</v>
      </c>
      <c r="T271" s="199"/>
      <c r="U271" s="206"/>
      <c r="V271" s="741"/>
      <c r="W271" s="206"/>
      <c r="X271" s="718">
        <v>32</v>
      </c>
      <c r="Y271" s="737">
        <v>0.3</v>
      </c>
      <c r="Z271" s="199">
        <f>R271*Y271</f>
        <v>1744.5</v>
      </c>
      <c r="AA271" s="199">
        <f>AH271</f>
        <v>440.5</v>
      </c>
      <c r="AB271" s="796">
        <f>(R271+Z271)*S271+AA271</f>
        <v>8000</v>
      </c>
      <c r="AC271" s="738">
        <f>AF271</f>
        <v>5500</v>
      </c>
      <c r="AD271" s="738">
        <f>AB271+AC271</f>
        <v>13500</v>
      </c>
      <c r="AE271" s="202">
        <f>13500*S271</f>
        <v>13500</v>
      </c>
      <c r="AF271" s="202">
        <f>AE271-AB271</f>
        <v>5500</v>
      </c>
      <c r="AG271" s="738">
        <f>8000*S271</f>
        <v>8000</v>
      </c>
      <c r="AH271" s="202">
        <f>AG271-(R271+Z271)*S271</f>
        <v>440.5</v>
      </c>
      <c r="AI271" s="203">
        <f>G271*S271</f>
        <v>5815</v>
      </c>
      <c r="AJ271" s="203">
        <f>G271*T271</f>
        <v>0</v>
      </c>
      <c r="AK271" s="203">
        <f>R271*S271</f>
        <v>5815</v>
      </c>
      <c r="AL271" s="203">
        <f>R271*T271</f>
        <v>0</v>
      </c>
      <c r="AM271" s="203">
        <f t="shared" si="350"/>
        <v>0</v>
      </c>
      <c r="AN271" s="203">
        <f t="shared" si="350"/>
        <v>0</v>
      </c>
      <c r="AO271" s="205">
        <f>Z271*S271</f>
        <v>1744.5</v>
      </c>
      <c r="AP271" s="205">
        <f>Z271*T271</f>
        <v>0</v>
      </c>
      <c r="AQ271" s="205">
        <f>AA271</f>
        <v>440.5</v>
      </c>
      <c r="AR271" s="205">
        <f>W271*S271</f>
        <v>0</v>
      </c>
      <c r="AS271" s="205">
        <f>W271*T271</f>
        <v>0</v>
      </c>
      <c r="AT271" s="209">
        <f t="shared" si="277"/>
        <v>5815</v>
      </c>
      <c r="AU271" s="209">
        <f t="shared" si="277"/>
        <v>0</v>
      </c>
      <c r="AV271" s="203"/>
      <c r="AW271" s="251">
        <f>R271*S271</f>
        <v>5815</v>
      </c>
      <c r="AX271" s="251"/>
      <c r="AY271" s="661"/>
      <c r="AZ271" s="661"/>
      <c r="BA271" s="661"/>
    </row>
    <row r="272" spans="2:53" s="76" customFormat="1" ht="63">
      <c r="B272" s="703">
        <f t="shared" si="271"/>
        <v>188</v>
      </c>
      <c r="C272" s="197" t="s">
        <v>1154</v>
      </c>
      <c r="D272" s="726" t="s">
        <v>1809</v>
      </c>
      <c r="E272" s="703" t="s">
        <v>1157</v>
      </c>
      <c r="F272" s="703">
        <v>10</v>
      </c>
      <c r="G272" s="199">
        <v>5815</v>
      </c>
      <c r="H272" s="736"/>
      <c r="I272" s="199"/>
      <c r="J272" s="737"/>
      <c r="K272" s="201"/>
      <c r="L272" s="201"/>
      <c r="M272" s="736"/>
      <c r="N272" s="199"/>
      <c r="O272" s="736"/>
      <c r="P272" s="199"/>
      <c r="Q272" s="206"/>
      <c r="R272" s="199">
        <f>G272+I272+K272+L272+N272+P272+Q272</f>
        <v>5815</v>
      </c>
      <c r="S272" s="199">
        <v>1</v>
      </c>
      <c r="T272" s="199"/>
      <c r="U272" s="206"/>
      <c r="V272" s="741"/>
      <c r="W272" s="206"/>
      <c r="X272" s="718">
        <v>28</v>
      </c>
      <c r="Y272" s="737">
        <v>0.3</v>
      </c>
      <c r="Z272" s="199">
        <f>R272*Y272</f>
        <v>1744.5</v>
      </c>
      <c r="AA272" s="199">
        <f>AH272</f>
        <v>440.5</v>
      </c>
      <c r="AB272" s="796">
        <f>(R272+Z272)*S272+AA272</f>
        <v>8000</v>
      </c>
      <c r="AC272" s="738">
        <f>AF272</f>
        <v>5500</v>
      </c>
      <c r="AD272" s="738">
        <f>AB272+AC272</f>
        <v>13500</v>
      </c>
      <c r="AE272" s="202">
        <f>13500*S272</f>
        <v>13500</v>
      </c>
      <c r="AF272" s="202">
        <f>AE272-AB272</f>
        <v>5500</v>
      </c>
      <c r="AG272" s="738">
        <f>8000*S272</f>
        <v>8000</v>
      </c>
      <c r="AH272" s="202">
        <f>AG272-(R272+Z272)*S272</f>
        <v>440.5</v>
      </c>
      <c r="AI272" s="203">
        <f>G272*S272</f>
        <v>5815</v>
      </c>
      <c r="AJ272" s="203">
        <f>G272*T272</f>
        <v>0</v>
      </c>
      <c r="AK272" s="203">
        <f>R272*S272</f>
        <v>5815</v>
      </c>
      <c r="AL272" s="203">
        <f>R272*T272</f>
        <v>0</v>
      </c>
      <c r="AM272" s="203">
        <f t="shared" si="350"/>
        <v>0</v>
      </c>
      <c r="AN272" s="203">
        <f t="shared" si="350"/>
        <v>0</v>
      </c>
      <c r="AO272" s="205">
        <f>Z272*S272</f>
        <v>1744.5</v>
      </c>
      <c r="AP272" s="205">
        <f>Z272*T272</f>
        <v>0</v>
      </c>
      <c r="AQ272" s="205">
        <f>AA272</f>
        <v>440.5</v>
      </c>
      <c r="AR272" s="205">
        <f>W272*S272</f>
        <v>0</v>
      </c>
      <c r="AS272" s="205">
        <f>W272*T272</f>
        <v>0</v>
      </c>
      <c r="AT272" s="209">
        <f t="shared" si="277"/>
        <v>5815</v>
      </c>
      <c r="AU272" s="209">
        <f t="shared" si="277"/>
        <v>0</v>
      </c>
      <c r="AV272" s="203"/>
      <c r="AW272" s="251">
        <f>R272*S272</f>
        <v>5815</v>
      </c>
      <c r="AX272" s="251"/>
      <c r="AY272" s="661"/>
      <c r="AZ272" s="661"/>
      <c r="BA272" s="661"/>
    </row>
    <row r="273" spans="2:53" s="76" customFormat="1" ht="31.5">
      <c r="B273" s="703"/>
      <c r="C273" s="180" t="s">
        <v>1736</v>
      </c>
      <c r="D273" s="207"/>
      <c r="E273" s="193"/>
      <c r="F273" s="193"/>
      <c r="G273" s="183">
        <f>SUM(G269:G272)</f>
        <v>22972</v>
      </c>
      <c r="H273" s="731"/>
      <c r="I273" s="193"/>
      <c r="J273" s="731"/>
      <c r="K273" s="193"/>
      <c r="L273" s="193"/>
      <c r="M273" s="731"/>
      <c r="N273" s="193"/>
      <c r="O273" s="731"/>
      <c r="P273" s="193"/>
      <c r="Q273" s="193"/>
      <c r="R273" s="183">
        <f>SUM(R269:R272)</f>
        <v>22972</v>
      </c>
      <c r="S273" s="183">
        <f>SUM(S269:S272)</f>
        <v>4</v>
      </c>
      <c r="T273" s="183">
        <f>SUM(T269:T272)</f>
        <v>0</v>
      </c>
      <c r="U273" s="183"/>
      <c r="V273" s="742"/>
      <c r="W273" s="183"/>
      <c r="X273" s="742"/>
      <c r="Y273" s="742"/>
      <c r="Z273" s="183">
        <f t="shared" ref="Z273:AV273" si="351">SUM(Z269:Z272)</f>
        <v>6338.9</v>
      </c>
      <c r="AA273" s="183">
        <f t="shared" si="351"/>
        <v>2689.1000000000004</v>
      </c>
      <c r="AB273" s="797">
        <f t="shared" si="351"/>
        <v>32000</v>
      </c>
      <c r="AC273" s="183">
        <f>SUM(AC269:AC272)</f>
        <v>22000</v>
      </c>
      <c r="AD273" s="183">
        <f>SUM(AD269:AD272)</f>
        <v>54000</v>
      </c>
      <c r="AE273" s="183">
        <f t="shared" si="351"/>
        <v>54000</v>
      </c>
      <c r="AF273" s="183">
        <f t="shared" si="351"/>
        <v>22000</v>
      </c>
      <c r="AG273" s="183">
        <f t="shared" si="351"/>
        <v>32000</v>
      </c>
      <c r="AH273" s="183">
        <f t="shared" si="351"/>
        <v>2689.1000000000004</v>
      </c>
      <c r="AI273" s="183">
        <f t="shared" si="351"/>
        <v>22972</v>
      </c>
      <c r="AJ273" s="183">
        <f t="shared" si="351"/>
        <v>0</v>
      </c>
      <c r="AK273" s="183">
        <f t="shared" si="351"/>
        <v>22972</v>
      </c>
      <c r="AL273" s="183">
        <f t="shared" si="351"/>
        <v>0</v>
      </c>
      <c r="AM273" s="183">
        <f t="shared" si="351"/>
        <v>0</v>
      </c>
      <c r="AN273" s="183">
        <f t="shared" si="351"/>
        <v>0</v>
      </c>
      <c r="AO273" s="183">
        <f t="shared" si="351"/>
        <v>6338.9</v>
      </c>
      <c r="AP273" s="183">
        <f t="shared" si="351"/>
        <v>0</v>
      </c>
      <c r="AQ273" s="183">
        <f t="shared" si="351"/>
        <v>2689.1000000000004</v>
      </c>
      <c r="AR273" s="183">
        <f t="shared" si="351"/>
        <v>0</v>
      </c>
      <c r="AS273" s="183">
        <f t="shared" si="351"/>
        <v>0</v>
      </c>
      <c r="AT273" s="183">
        <f t="shared" si="351"/>
        <v>22972</v>
      </c>
      <c r="AU273" s="183">
        <f t="shared" si="351"/>
        <v>0</v>
      </c>
      <c r="AV273" s="183">
        <f t="shared" si="351"/>
        <v>0</v>
      </c>
      <c r="AW273" s="183">
        <f>SUM(AW269:AW272)</f>
        <v>22972</v>
      </c>
      <c r="AX273" s="183">
        <f>SUM(AX269:AX272)</f>
        <v>0</v>
      </c>
      <c r="AY273" s="661"/>
      <c r="AZ273" s="661"/>
      <c r="BA273" s="661"/>
    </row>
    <row r="274" spans="2:53" s="76" customFormat="1" ht="33">
      <c r="B274" s="703"/>
      <c r="C274" s="220" t="s">
        <v>1874</v>
      </c>
      <c r="D274" s="207"/>
      <c r="E274" s="193"/>
      <c r="F274" s="193"/>
      <c r="G274" s="183"/>
      <c r="H274" s="752"/>
      <c r="I274" s="183"/>
      <c r="J274" s="731"/>
      <c r="K274" s="193"/>
      <c r="L274" s="193"/>
      <c r="M274" s="731"/>
      <c r="N274" s="193"/>
      <c r="O274" s="731"/>
      <c r="P274" s="193"/>
      <c r="Q274" s="193"/>
      <c r="R274" s="183"/>
      <c r="S274" s="183"/>
      <c r="T274" s="183"/>
      <c r="U274" s="183"/>
      <c r="V274" s="742"/>
      <c r="W274" s="183"/>
      <c r="X274" s="742"/>
      <c r="Y274" s="742"/>
      <c r="Z274" s="183"/>
      <c r="AA274" s="183"/>
      <c r="AB274" s="797"/>
      <c r="AC274" s="208"/>
      <c r="AD274" s="208"/>
      <c r="AE274" s="208"/>
      <c r="AF274" s="208"/>
      <c r="AG274" s="208"/>
      <c r="AH274" s="208"/>
      <c r="AI274" s="203"/>
      <c r="AJ274" s="203"/>
      <c r="AK274" s="203"/>
      <c r="AL274" s="203"/>
      <c r="AM274" s="203"/>
      <c r="AN274" s="203"/>
      <c r="AO274" s="205"/>
      <c r="AP274" s="205"/>
      <c r="AQ274" s="205"/>
      <c r="AR274" s="205"/>
      <c r="AS274" s="205"/>
      <c r="AT274" s="209"/>
      <c r="AU274" s="209"/>
      <c r="AV274" s="203"/>
      <c r="AW274" s="251"/>
      <c r="AX274" s="251"/>
      <c r="AY274" s="661"/>
      <c r="AZ274" s="661"/>
      <c r="BA274" s="661"/>
    </row>
    <row r="275" spans="2:53" s="76" customFormat="1" ht="94.5">
      <c r="B275" s="703">
        <f>B272+1</f>
        <v>189</v>
      </c>
      <c r="C275" s="197" t="s">
        <v>1188</v>
      </c>
      <c r="D275" s="198"/>
      <c r="E275" s="703" t="s">
        <v>1193</v>
      </c>
      <c r="F275" s="703">
        <v>3</v>
      </c>
      <c r="G275" s="199">
        <v>3770</v>
      </c>
      <c r="H275" s="736"/>
      <c r="I275" s="199"/>
      <c r="J275" s="741"/>
      <c r="K275" s="206"/>
      <c r="L275" s="206"/>
      <c r="M275" s="741"/>
      <c r="N275" s="206"/>
      <c r="O275" s="741"/>
      <c r="P275" s="206"/>
      <c r="Q275" s="206"/>
      <c r="R275" s="199">
        <f t="shared" ref="R275:R280" si="352">G275+I275+K275+L275+N275+P275+Q275</f>
        <v>3770</v>
      </c>
      <c r="S275" s="199">
        <v>1</v>
      </c>
      <c r="T275" s="206"/>
      <c r="U275" s="206"/>
      <c r="V275" s="737">
        <v>0.1</v>
      </c>
      <c r="W275" s="199">
        <f t="shared" ref="W275:W280" si="353">R275*V275</f>
        <v>377</v>
      </c>
      <c r="X275" s="718"/>
      <c r="Y275" s="737"/>
      <c r="Z275" s="199"/>
      <c r="AA275" s="199">
        <f t="shared" ref="AA275:AA280" si="354">AH275</f>
        <v>4230</v>
      </c>
      <c r="AB275" s="796">
        <f t="shared" ref="AB275:AB280" si="355">(R275+Z275+U275+W275)*S275+AA275</f>
        <v>8377</v>
      </c>
      <c r="AC275" s="738">
        <f t="shared" ref="AC275:AC280" si="356">AF275</f>
        <v>0</v>
      </c>
      <c r="AD275" s="738">
        <f t="shared" ref="AD275:AD280" si="357">AB275+AC275</f>
        <v>8377</v>
      </c>
      <c r="AE275" s="202">
        <f t="shared" ref="AE275:AE280" si="358">AB275</f>
        <v>8377</v>
      </c>
      <c r="AF275" s="202">
        <f t="shared" ref="AF275:AF280" si="359">AE275-AB275</f>
        <v>0</v>
      </c>
      <c r="AG275" s="738">
        <f t="shared" ref="AG275:AG280" si="360">8000*S275</f>
        <v>8000</v>
      </c>
      <c r="AH275" s="202">
        <f t="shared" ref="AH275:AH280" si="361">AG275-(R275*S275)</f>
        <v>4230</v>
      </c>
      <c r="AI275" s="203">
        <f t="shared" ref="AI275:AI280" si="362">G275*S275</f>
        <v>3770</v>
      </c>
      <c r="AJ275" s="203">
        <f t="shared" ref="AJ275:AJ280" si="363">G275*T275</f>
        <v>0</v>
      </c>
      <c r="AK275" s="203">
        <f t="shared" ref="AK275:AK280" si="364">R275*S275</f>
        <v>3770</v>
      </c>
      <c r="AL275" s="203">
        <f t="shared" ref="AL275:AL280" si="365">R275*T275</f>
        <v>0</v>
      </c>
      <c r="AM275" s="203">
        <f t="shared" ref="AM275:AN280" si="366">AK275-AI275</f>
        <v>0</v>
      </c>
      <c r="AN275" s="203">
        <f t="shared" si="366"/>
        <v>0</v>
      </c>
      <c r="AO275" s="205">
        <f t="shared" ref="AO275:AO280" si="367">Z275*S275</f>
        <v>0</v>
      </c>
      <c r="AP275" s="205">
        <f t="shared" ref="AP275:AP280" si="368">Z275*T275</f>
        <v>0</v>
      </c>
      <c r="AQ275" s="205">
        <f t="shared" ref="AQ275:AQ280" si="369">AA275</f>
        <v>4230</v>
      </c>
      <c r="AR275" s="205">
        <f t="shared" ref="AR275:AR280" si="370">W275*S275</f>
        <v>377</v>
      </c>
      <c r="AS275" s="205">
        <f t="shared" ref="AS275:AS280" si="371">W275*T275</f>
        <v>0</v>
      </c>
      <c r="AT275" s="209">
        <f t="shared" si="277"/>
        <v>3770</v>
      </c>
      <c r="AU275" s="209">
        <f t="shared" si="277"/>
        <v>0</v>
      </c>
      <c r="AV275" s="203"/>
      <c r="AW275" s="251">
        <f t="shared" ref="AW275:AW280" si="372">R275*S275</f>
        <v>3770</v>
      </c>
      <c r="AX275" s="251"/>
      <c r="AY275" s="661"/>
      <c r="AZ275" s="661"/>
      <c r="BA275" s="661"/>
    </row>
    <row r="276" spans="2:53" s="76" customFormat="1" ht="94.5">
      <c r="B276" s="703">
        <f t="shared" ref="B276:B340" si="373">1+B275</f>
        <v>190</v>
      </c>
      <c r="C276" s="197" t="s">
        <v>1188</v>
      </c>
      <c r="D276" s="198"/>
      <c r="E276" s="703" t="s">
        <v>1196</v>
      </c>
      <c r="F276" s="703">
        <v>3</v>
      </c>
      <c r="G276" s="199">
        <v>3770</v>
      </c>
      <c r="H276" s="736"/>
      <c r="I276" s="199"/>
      <c r="J276" s="736"/>
      <c r="K276" s="199"/>
      <c r="L276" s="199"/>
      <c r="M276" s="736"/>
      <c r="N276" s="199"/>
      <c r="O276" s="736"/>
      <c r="P276" s="199"/>
      <c r="Q276" s="199"/>
      <c r="R276" s="199">
        <f t="shared" si="352"/>
        <v>3770</v>
      </c>
      <c r="S276" s="199">
        <v>1</v>
      </c>
      <c r="T276" s="206"/>
      <c r="U276" s="206"/>
      <c r="V276" s="737">
        <v>0.1</v>
      </c>
      <c r="W276" s="199">
        <f t="shared" si="353"/>
        <v>377</v>
      </c>
      <c r="X276" s="718"/>
      <c r="Y276" s="737"/>
      <c r="Z276" s="199"/>
      <c r="AA276" s="199">
        <f t="shared" si="354"/>
        <v>4230</v>
      </c>
      <c r="AB276" s="796">
        <f t="shared" si="355"/>
        <v>8377</v>
      </c>
      <c r="AC276" s="738">
        <f t="shared" si="356"/>
        <v>0</v>
      </c>
      <c r="AD276" s="738">
        <f t="shared" si="357"/>
        <v>8377</v>
      </c>
      <c r="AE276" s="202">
        <f t="shared" si="358"/>
        <v>8377</v>
      </c>
      <c r="AF276" s="202">
        <f t="shared" si="359"/>
        <v>0</v>
      </c>
      <c r="AG276" s="738">
        <f t="shared" si="360"/>
        <v>8000</v>
      </c>
      <c r="AH276" s="202">
        <f t="shared" si="361"/>
        <v>4230</v>
      </c>
      <c r="AI276" s="203">
        <f t="shared" si="362"/>
        <v>3770</v>
      </c>
      <c r="AJ276" s="203">
        <f t="shared" si="363"/>
        <v>0</v>
      </c>
      <c r="AK276" s="203">
        <f t="shared" si="364"/>
        <v>3770</v>
      </c>
      <c r="AL276" s="203">
        <f t="shared" si="365"/>
        <v>0</v>
      </c>
      <c r="AM276" s="203">
        <f t="shared" si="366"/>
        <v>0</v>
      </c>
      <c r="AN276" s="203">
        <f t="shared" si="366"/>
        <v>0</v>
      </c>
      <c r="AO276" s="205">
        <f t="shared" si="367"/>
        <v>0</v>
      </c>
      <c r="AP276" s="205">
        <f t="shared" si="368"/>
        <v>0</v>
      </c>
      <c r="AQ276" s="205">
        <f t="shared" si="369"/>
        <v>4230</v>
      </c>
      <c r="AR276" s="205">
        <f t="shared" si="370"/>
        <v>377</v>
      </c>
      <c r="AS276" s="205">
        <f t="shared" si="371"/>
        <v>0</v>
      </c>
      <c r="AT276" s="209">
        <f t="shared" si="277"/>
        <v>3770</v>
      </c>
      <c r="AU276" s="209">
        <f t="shared" si="277"/>
        <v>0</v>
      </c>
      <c r="AV276" s="203"/>
      <c r="AW276" s="251">
        <f t="shared" si="372"/>
        <v>3770</v>
      </c>
      <c r="AX276" s="251"/>
      <c r="AY276" s="661"/>
      <c r="AZ276" s="661"/>
      <c r="BA276" s="661"/>
    </row>
    <row r="277" spans="2:53" s="76" customFormat="1" ht="94.5">
      <c r="B277" s="703">
        <f t="shared" si="373"/>
        <v>191</v>
      </c>
      <c r="C277" s="197" t="s">
        <v>1188</v>
      </c>
      <c r="D277" s="198"/>
      <c r="E277" s="703" t="s">
        <v>1197</v>
      </c>
      <c r="F277" s="703">
        <v>3</v>
      </c>
      <c r="G277" s="199">
        <v>3770</v>
      </c>
      <c r="H277" s="736"/>
      <c r="I277" s="199"/>
      <c r="J277" s="736"/>
      <c r="K277" s="199"/>
      <c r="L277" s="199"/>
      <c r="M277" s="736"/>
      <c r="N277" s="199"/>
      <c r="O277" s="736"/>
      <c r="P277" s="199"/>
      <c r="Q277" s="199"/>
      <c r="R277" s="199">
        <f t="shared" si="352"/>
        <v>3770</v>
      </c>
      <c r="S277" s="199">
        <v>1</v>
      </c>
      <c r="T277" s="199"/>
      <c r="U277" s="199"/>
      <c r="V277" s="737">
        <v>0.1</v>
      </c>
      <c r="W277" s="199">
        <f t="shared" si="353"/>
        <v>377</v>
      </c>
      <c r="X277" s="718"/>
      <c r="Y277" s="737"/>
      <c r="Z277" s="199"/>
      <c r="AA277" s="199">
        <f t="shared" si="354"/>
        <v>4230</v>
      </c>
      <c r="AB277" s="796">
        <f t="shared" si="355"/>
        <v>8377</v>
      </c>
      <c r="AC277" s="738">
        <f t="shared" si="356"/>
        <v>0</v>
      </c>
      <c r="AD277" s="738">
        <f t="shared" si="357"/>
        <v>8377</v>
      </c>
      <c r="AE277" s="202">
        <f t="shared" si="358"/>
        <v>8377</v>
      </c>
      <c r="AF277" s="202">
        <f t="shared" si="359"/>
        <v>0</v>
      </c>
      <c r="AG277" s="738">
        <f t="shared" si="360"/>
        <v>8000</v>
      </c>
      <c r="AH277" s="202">
        <f t="shared" si="361"/>
        <v>4230</v>
      </c>
      <c r="AI277" s="203">
        <f t="shared" si="362"/>
        <v>3770</v>
      </c>
      <c r="AJ277" s="203">
        <f t="shared" si="363"/>
        <v>0</v>
      </c>
      <c r="AK277" s="203">
        <f t="shared" si="364"/>
        <v>3770</v>
      </c>
      <c r="AL277" s="203">
        <f t="shared" si="365"/>
        <v>0</v>
      </c>
      <c r="AM277" s="203">
        <f t="shared" si="366"/>
        <v>0</v>
      </c>
      <c r="AN277" s="203">
        <f t="shared" si="366"/>
        <v>0</v>
      </c>
      <c r="AO277" s="205">
        <f t="shared" si="367"/>
        <v>0</v>
      </c>
      <c r="AP277" s="205">
        <f t="shared" si="368"/>
        <v>0</v>
      </c>
      <c r="AQ277" s="205">
        <f t="shared" si="369"/>
        <v>4230</v>
      </c>
      <c r="AR277" s="205">
        <f t="shared" si="370"/>
        <v>377</v>
      </c>
      <c r="AS277" s="205">
        <f t="shared" si="371"/>
        <v>0</v>
      </c>
      <c r="AT277" s="209">
        <f t="shared" si="277"/>
        <v>3770</v>
      </c>
      <c r="AU277" s="209">
        <f t="shared" si="277"/>
        <v>0</v>
      </c>
      <c r="AV277" s="203"/>
      <c r="AW277" s="251">
        <f t="shared" si="372"/>
        <v>3770</v>
      </c>
      <c r="AX277" s="251"/>
      <c r="AY277" s="661"/>
      <c r="AZ277" s="661"/>
      <c r="BA277" s="661"/>
    </row>
    <row r="278" spans="2:53" s="76" customFormat="1" ht="94.5">
      <c r="B278" s="703">
        <f>B277+1</f>
        <v>192</v>
      </c>
      <c r="C278" s="197" t="s">
        <v>1188</v>
      </c>
      <c r="D278" s="198"/>
      <c r="E278" s="703" t="s">
        <v>275</v>
      </c>
      <c r="F278" s="703">
        <v>3</v>
      </c>
      <c r="G278" s="199">
        <v>3770</v>
      </c>
      <c r="H278" s="736"/>
      <c r="I278" s="199"/>
      <c r="J278" s="736"/>
      <c r="K278" s="199"/>
      <c r="L278" s="199"/>
      <c r="M278" s="736"/>
      <c r="N278" s="199"/>
      <c r="O278" s="736"/>
      <c r="P278" s="199"/>
      <c r="Q278" s="199"/>
      <c r="R278" s="199">
        <f t="shared" si="352"/>
        <v>3770</v>
      </c>
      <c r="S278" s="199">
        <v>1</v>
      </c>
      <c r="T278" s="199"/>
      <c r="U278" s="199"/>
      <c r="V278" s="737">
        <v>0.1</v>
      </c>
      <c r="W278" s="199">
        <f t="shared" si="353"/>
        <v>377</v>
      </c>
      <c r="X278" s="718"/>
      <c r="Y278" s="737"/>
      <c r="Z278" s="199"/>
      <c r="AA278" s="199">
        <f t="shared" si="354"/>
        <v>4230</v>
      </c>
      <c r="AB278" s="796">
        <f t="shared" si="355"/>
        <v>8377</v>
      </c>
      <c r="AC278" s="738">
        <f t="shared" si="356"/>
        <v>0</v>
      </c>
      <c r="AD278" s="738">
        <f t="shared" si="357"/>
        <v>8377</v>
      </c>
      <c r="AE278" s="202">
        <f t="shared" si="358"/>
        <v>8377</v>
      </c>
      <c r="AF278" s="202">
        <f t="shared" si="359"/>
        <v>0</v>
      </c>
      <c r="AG278" s="738">
        <f t="shared" si="360"/>
        <v>8000</v>
      </c>
      <c r="AH278" s="202">
        <f t="shared" si="361"/>
        <v>4230</v>
      </c>
      <c r="AI278" s="203">
        <f t="shared" si="362"/>
        <v>3770</v>
      </c>
      <c r="AJ278" s="203">
        <f t="shared" si="363"/>
        <v>0</v>
      </c>
      <c r="AK278" s="203">
        <f t="shared" si="364"/>
        <v>3770</v>
      </c>
      <c r="AL278" s="203">
        <f t="shared" si="365"/>
        <v>0</v>
      </c>
      <c r="AM278" s="203">
        <f t="shared" si="366"/>
        <v>0</v>
      </c>
      <c r="AN278" s="203">
        <f>AL278-AJ278</f>
        <v>0</v>
      </c>
      <c r="AO278" s="205">
        <f t="shared" si="367"/>
        <v>0</v>
      </c>
      <c r="AP278" s="205">
        <f t="shared" si="368"/>
        <v>0</v>
      </c>
      <c r="AQ278" s="205">
        <f t="shared" si="369"/>
        <v>4230</v>
      </c>
      <c r="AR278" s="205">
        <f t="shared" si="370"/>
        <v>377</v>
      </c>
      <c r="AS278" s="205">
        <f t="shared" si="371"/>
        <v>0</v>
      </c>
      <c r="AT278" s="209">
        <f>AK278</f>
        <v>3770</v>
      </c>
      <c r="AU278" s="209">
        <f>AL278</f>
        <v>0</v>
      </c>
      <c r="AV278" s="203"/>
      <c r="AW278" s="251">
        <f>R278*S278</f>
        <v>3770</v>
      </c>
      <c r="AX278" s="251"/>
      <c r="AY278" s="661"/>
      <c r="AZ278" s="661"/>
      <c r="BA278" s="661"/>
    </row>
    <row r="279" spans="2:53" s="76" customFormat="1" ht="94.5">
      <c r="B279" s="703">
        <f>B278+1</f>
        <v>193</v>
      </c>
      <c r="C279" s="197" t="s">
        <v>1188</v>
      </c>
      <c r="D279" s="198"/>
      <c r="E279" s="703" t="s">
        <v>1198</v>
      </c>
      <c r="F279" s="703">
        <v>3</v>
      </c>
      <c r="G279" s="199">
        <v>3770</v>
      </c>
      <c r="H279" s="736"/>
      <c r="I279" s="199"/>
      <c r="J279" s="736"/>
      <c r="K279" s="199"/>
      <c r="L279" s="199"/>
      <c r="M279" s="736"/>
      <c r="N279" s="199"/>
      <c r="O279" s="736"/>
      <c r="P279" s="199"/>
      <c r="Q279" s="199"/>
      <c r="R279" s="199">
        <f t="shared" si="352"/>
        <v>3770</v>
      </c>
      <c r="S279" s="199">
        <v>1</v>
      </c>
      <c r="T279" s="199"/>
      <c r="U279" s="199"/>
      <c r="V279" s="737">
        <v>0.1</v>
      </c>
      <c r="W279" s="199">
        <f t="shared" si="353"/>
        <v>377</v>
      </c>
      <c r="X279" s="718"/>
      <c r="Y279" s="737"/>
      <c r="Z279" s="199"/>
      <c r="AA279" s="199">
        <f t="shared" si="354"/>
        <v>4230</v>
      </c>
      <c r="AB279" s="796">
        <f t="shared" si="355"/>
        <v>8377</v>
      </c>
      <c r="AC279" s="738">
        <f t="shared" si="356"/>
        <v>0</v>
      </c>
      <c r="AD279" s="738">
        <f t="shared" si="357"/>
        <v>8377</v>
      </c>
      <c r="AE279" s="202">
        <f t="shared" si="358"/>
        <v>8377</v>
      </c>
      <c r="AF279" s="202">
        <f t="shared" si="359"/>
        <v>0</v>
      </c>
      <c r="AG279" s="738">
        <f t="shared" si="360"/>
        <v>8000</v>
      </c>
      <c r="AH279" s="202">
        <f t="shared" si="361"/>
        <v>4230</v>
      </c>
      <c r="AI279" s="203">
        <f t="shared" si="362"/>
        <v>3770</v>
      </c>
      <c r="AJ279" s="203">
        <f t="shared" si="363"/>
        <v>0</v>
      </c>
      <c r="AK279" s="203">
        <f t="shared" si="364"/>
        <v>3770</v>
      </c>
      <c r="AL279" s="203">
        <f t="shared" si="365"/>
        <v>0</v>
      </c>
      <c r="AM279" s="203">
        <f t="shared" si="366"/>
        <v>0</v>
      </c>
      <c r="AN279" s="203">
        <f t="shared" si="366"/>
        <v>0</v>
      </c>
      <c r="AO279" s="205">
        <f t="shared" si="367"/>
        <v>0</v>
      </c>
      <c r="AP279" s="205">
        <f t="shared" si="368"/>
        <v>0</v>
      </c>
      <c r="AQ279" s="205">
        <f t="shared" si="369"/>
        <v>4230</v>
      </c>
      <c r="AR279" s="205">
        <f t="shared" si="370"/>
        <v>377</v>
      </c>
      <c r="AS279" s="205">
        <f t="shared" si="371"/>
        <v>0</v>
      </c>
      <c r="AT279" s="209">
        <f t="shared" si="277"/>
        <v>3770</v>
      </c>
      <c r="AU279" s="209">
        <f t="shared" si="277"/>
        <v>0</v>
      </c>
      <c r="AV279" s="203"/>
      <c r="AW279" s="251">
        <f t="shared" si="372"/>
        <v>3770</v>
      </c>
      <c r="AX279" s="251"/>
      <c r="AY279" s="661"/>
      <c r="AZ279" s="661"/>
      <c r="BA279" s="661"/>
    </row>
    <row r="280" spans="2:53" s="76" customFormat="1" ht="94.5">
      <c r="B280" s="703">
        <f t="shared" si="373"/>
        <v>194</v>
      </c>
      <c r="C280" s="197" t="s">
        <v>1188</v>
      </c>
      <c r="D280" s="198"/>
      <c r="E280" s="703" t="s">
        <v>1201</v>
      </c>
      <c r="F280" s="703">
        <v>3</v>
      </c>
      <c r="G280" s="199">
        <v>3770</v>
      </c>
      <c r="H280" s="736"/>
      <c r="I280" s="199"/>
      <c r="J280" s="736"/>
      <c r="K280" s="199"/>
      <c r="L280" s="199"/>
      <c r="M280" s="736"/>
      <c r="N280" s="199"/>
      <c r="O280" s="736"/>
      <c r="P280" s="199"/>
      <c r="Q280" s="199"/>
      <c r="R280" s="199">
        <f t="shared" si="352"/>
        <v>3770</v>
      </c>
      <c r="S280" s="199">
        <v>1</v>
      </c>
      <c r="T280" s="199"/>
      <c r="U280" s="199"/>
      <c r="V280" s="737">
        <v>0.1</v>
      </c>
      <c r="W280" s="199">
        <f t="shared" si="353"/>
        <v>377</v>
      </c>
      <c r="X280" s="718"/>
      <c r="Y280" s="737"/>
      <c r="Z280" s="199"/>
      <c r="AA280" s="199">
        <f t="shared" si="354"/>
        <v>4230</v>
      </c>
      <c r="AB280" s="796">
        <f t="shared" si="355"/>
        <v>8377</v>
      </c>
      <c r="AC280" s="738">
        <f t="shared" si="356"/>
        <v>0</v>
      </c>
      <c r="AD280" s="738">
        <f t="shared" si="357"/>
        <v>8377</v>
      </c>
      <c r="AE280" s="202">
        <f t="shared" si="358"/>
        <v>8377</v>
      </c>
      <c r="AF280" s="202">
        <f t="shared" si="359"/>
        <v>0</v>
      </c>
      <c r="AG280" s="738">
        <f t="shared" si="360"/>
        <v>8000</v>
      </c>
      <c r="AH280" s="202">
        <f t="shared" si="361"/>
        <v>4230</v>
      </c>
      <c r="AI280" s="203">
        <f t="shared" si="362"/>
        <v>3770</v>
      </c>
      <c r="AJ280" s="203">
        <f t="shared" si="363"/>
        <v>0</v>
      </c>
      <c r="AK280" s="203">
        <f t="shared" si="364"/>
        <v>3770</v>
      </c>
      <c r="AL280" s="203">
        <f t="shared" si="365"/>
        <v>0</v>
      </c>
      <c r="AM280" s="203">
        <f t="shared" si="366"/>
        <v>0</v>
      </c>
      <c r="AN280" s="203">
        <f t="shared" si="366"/>
        <v>0</v>
      </c>
      <c r="AO280" s="205">
        <f t="shared" si="367"/>
        <v>0</v>
      </c>
      <c r="AP280" s="205">
        <f t="shared" si="368"/>
        <v>0</v>
      </c>
      <c r="AQ280" s="205">
        <f t="shared" si="369"/>
        <v>4230</v>
      </c>
      <c r="AR280" s="205">
        <f t="shared" si="370"/>
        <v>377</v>
      </c>
      <c r="AS280" s="205">
        <f t="shared" si="371"/>
        <v>0</v>
      </c>
      <c r="AT280" s="209">
        <f t="shared" si="277"/>
        <v>3770</v>
      </c>
      <c r="AU280" s="209">
        <f t="shared" si="277"/>
        <v>0</v>
      </c>
      <c r="AV280" s="203"/>
      <c r="AW280" s="251">
        <f t="shared" si="372"/>
        <v>3770</v>
      </c>
      <c r="AX280" s="251"/>
      <c r="AY280" s="661"/>
      <c r="AZ280" s="661"/>
      <c r="BA280" s="661"/>
    </row>
    <row r="281" spans="2:53" s="76" customFormat="1" ht="31.5">
      <c r="B281" s="703"/>
      <c r="C281" s="180" t="s">
        <v>1736</v>
      </c>
      <c r="D281" s="207"/>
      <c r="E281" s="193"/>
      <c r="F281" s="193"/>
      <c r="G281" s="183">
        <f>SUM(G275:G280)</f>
        <v>22620</v>
      </c>
      <c r="H281" s="731"/>
      <c r="I281" s="193"/>
      <c r="J281" s="731"/>
      <c r="K281" s="193"/>
      <c r="L281" s="193"/>
      <c r="M281" s="731"/>
      <c r="N281" s="193"/>
      <c r="O281" s="731"/>
      <c r="P281" s="193"/>
      <c r="Q281" s="193"/>
      <c r="R281" s="183">
        <f>SUM(R275:R280)</f>
        <v>22620</v>
      </c>
      <c r="S281" s="183">
        <f>SUM(S275:S280)</f>
        <v>6</v>
      </c>
      <c r="T281" s="183">
        <f>SUM(T275:T280)</f>
        <v>0</v>
      </c>
      <c r="U281" s="184"/>
      <c r="V281" s="742"/>
      <c r="W281" s="183">
        <f>SUM(W275:W280)</f>
        <v>2262</v>
      </c>
      <c r="X281" s="742"/>
      <c r="Y281" s="742"/>
      <c r="Z281" s="183"/>
      <c r="AA281" s="183">
        <f t="shared" ref="AA281:AI281" si="374">SUM(AA275:AA280)</f>
        <v>25380</v>
      </c>
      <c r="AB281" s="797">
        <f t="shared" si="374"/>
        <v>50262</v>
      </c>
      <c r="AC281" s="183">
        <f t="shared" si="374"/>
        <v>0</v>
      </c>
      <c r="AD281" s="183">
        <f t="shared" si="374"/>
        <v>50262</v>
      </c>
      <c r="AE281" s="183">
        <f t="shared" si="374"/>
        <v>50262</v>
      </c>
      <c r="AF281" s="183">
        <f t="shared" si="374"/>
        <v>0</v>
      </c>
      <c r="AG281" s="183">
        <f t="shared" si="374"/>
        <v>48000</v>
      </c>
      <c r="AH281" s="183">
        <f t="shared" si="374"/>
        <v>25380</v>
      </c>
      <c r="AI281" s="183">
        <f t="shared" si="374"/>
        <v>22620</v>
      </c>
      <c r="AJ281" s="183">
        <f t="shared" ref="AJ281:AU281" si="375">SUM(AJ275:AJ280)</f>
        <v>0</v>
      </c>
      <c r="AK281" s="183">
        <f t="shared" si="375"/>
        <v>22620</v>
      </c>
      <c r="AL281" s="183">
        <f t="shared" si="375"/>
        <v>0</v>
      </c>
      <c r="AM281" s="183">
        <f t="shared" si="375"/>
        <v>0</v>
      </c>
      <c r="AN281" s="183">
        <f t="shared" si="375"/>
        <v>0</v>
      </c>
      <c r="AO281" s="183">
        <f t="shared" si="375"/>
        <v>0</v>
      </c>
      <c r="AP281" s="183">
        <f t="shared" si="375"/>
        <v>0</v>
      </c>
      <c r="AQ281" s="183">
        <f>SUM(AQ275:AQ280)</f>
        <v>25380</v>
      </c>
      <c r="AR281" s="183">
        <f>SUM(AR275:AR280)</f>
        <v>2262</v>
      </c>
      <c r="AS281" s="183">
        <f t="shared" si="375"/>
        <v>0</v>
      </c>
      <c r="AT281" s="183">
        <f t="shared" si="375"/>
        <v>22620</v>
      </c>
      <c r="AU281" s="183">
        <f t="shared" si="375"/>
        <v>0</v>
      </c>
      <c r="AV281" s="183">
        <f>SUM(AV275:AV280)</f>
        <v>0</v>
      </c>
      <c r="AW281" s="183">
        <f>SUM(AW275:AW280)</f>
        <v>22620</v>
      </c>
      <c r="AX281" s="183">
        <f>SUM(AX275:AX280)</f>
        <v>0</v>
      </c>
      <c r="AY281" s="661"/>
      <c r="AZ281" s="661"/>
      <c r="BA281" s="661"/>
    </row>
    <row r="282" spans="2:53" s="76" customFormat="1" ht="33">
      <c r="B282" s="703"/>
      <c r="C282" s="191" t="s">
        <v>1153</v>
      </c>
      <c r="D282" s="192"/>
      <c r="E282" s="193"/>
      <c r="F282" s="193"/>
      <c r="G282" s="193"/>
      <c r="H282" s="731"/>
      <c r="I282" s="193"/>
      <c r="J282" s="731"/>
      <c r="K282" s="193"/>
      <c r="L282" s="193"/>
      <c r="M282" s="731"/>
      <c r="N282" s="193"/>
      <c r="O282" s="731"/>
      <c r="P282" s="193"/>
      <c r="Q282" s="193"/>
      <c r="R282" s="193"/>
      <c r="S282" s="193"/>
      <c r="T282" s="193"/>
      <c r="U282" s="193"/>
      <c r="V282" s="732"/>
      <c r="W282" s="193"/>
      <c r="X282" s="732"/>
      <c r="Y282" s="732"/>
      <c r="Z282" s="193"/>
      <c r="AA282" s="193"/>
      <c r="AB282" s="795"/>
      <c r="AC282" s="195"/>
      <c r="AD282" s="195"/>
      <c r="AE282" s="195"/>
      <c r="AF282" s="195"/>
      <c r="AG282" s="195"/>
      <c r="AH282" s="195"/>
      <c r="AI282" s="203"/>
      <c r="AJ282" s="203"/>
      <c r="AK282" s="203"/>
      <c r="AL282" s="203"/>
      <c r="AM282" s="203"/>
      <c r="AN282" s="203"/>
      <c r="AO282" s="205"/>
      <c r="AP282" s="205"/>
      <c r="AQ282" s="205"/>
      <c r="AR282" s="205"/>
      <c r="AS282" s="205"/>
      <c r="AT282" s="209"/>
      <c r="AU282" s="209"/>
      <c r="AV282" s="203"/>
      <c r="AW282" s="251"/>
      <c r="AX282" s="251"/>
      <c r="AY282" s="661"/>
      <c r="AZ282" s="661"/>
      <c r="BA282" s="661"/>
    </row>
    <row r="283" spans="2:53" s="76" customFormat="1" ht="63">
      <c r="B283" s="703">
        <f>B280+1</f>
        <v>195</v>
      </c>
      <c r="C283" s="197" t="s">
        <v>1213</v>
      </c>
      <c r="D283" s="198"/>
      <c r="E283" s="703" t="s">
        <v>193</v>
      </c>
      <c r="F283" s="703">
        <v>4</v>
      </c>
      <c r="G283" s="199">
        <v>4058</v>
      </c>
      <c r="H283" s="736"/>
      <c r="I283" s="199"/>
      <c r="J283" s="736"/>
      <c r="K283" s="199"/>
      <c r="L283" s="199"/>
      <c r="M283" s="736"/>
      <c r="N283" s="199"/>
      <c r="O283" s="736"/>
      <c r="P283" s="199"/>
      <c r="Q283" s="199"/>
      <c r="R283" s="199">
        <f>G283+I283+K283+L283+N283+P283+Q283</f>
        <v>4058</v>
      </c>
      <c r="S283" s="199">
        <v>1</v>
      </c>
      <c r="T283" s="199"/>
      <c r="U283" s="199"/>
      <c r="V283" s="737">
        <v>0.1</v>
      </c>
      <c r="W283" s="199">
        <f>R283*V283</f>
        <v>405.8</v>
      </c>
      <c r="X283" s="718"/>
      <c r="Y283" s="737"/>
      <c r="Z283" s="199"/>
      <c r="AA283" s="199">
        <f>AH283</f>
        <v>3942</v>
      </c>
      <c r="AB283" s="796">
        <f>(R283+Z283+U283+W283)*S283+AA283</f>
        <v>8405.7999999999993</v>
      </c>
      <c r="AC283" s="738">
        <f>AF283</f>
        <v>0</v>
      </c>
      <c r="AD283" s="738">
        <f>AB283+AC283</f>
        <v>8405.7999999999993</v>
      </c>
      <c r="AE283" s="202">
        <f>AB283</f>
        <v>8405.7999999999993</v>
      </c>
      <c r="AF283" s="202">
        <f>AE283-AB283</f>
        <v>0</v>
      </c>
      <c r="AG283" s="738">
        <f>8000*S283</f>
        <v>8000</v>
      </c>
      <c r="AH283" s="202">
        <f>AG283-(R283*S283)</f>
        <v>3942</v>
      </c>
      <c r="AI283" s="203">
        <f>G283*S283</f>
        <v>4058</v>
      </c>
      <c r="AJ283" s="203">
        <f>G283*T283</f>
        <v>0</v>
      </c>
      <c r="AK283" s="203">
        <f>R283*S283</f>
        <v>4058</v>
      </c>
      <c r="AL283" s="203">
        <f>R283*T283</f>
        <v>0</v>
      </c>
      <c r="AM283" s="203">
        <f t="shared" ref="AM283:AN286" si="376">AK283-AI283</f>
        <v>0</v>
      </c>
      <c r="AN283" s="203">
        <f t="shared" si="376"/>
        <v>0</v>
      </c>
      <c r="AO283" s="205">
        <f>Z283*S283</f>
        <v>0</v>
      </c>
      <c r="AP283" s="205">
        <f>Z283*T283</f>
        <v>0</v>
      </c>
      <c r="AQ283" s="205">
        <f>AA283</f>
        <v>3942</v>
      </c>
      <c r="AR283" s="205">
        <f>W283*S283</f>
        <v>405.8</v>
      </c>
      <c r="AS283" s="205">
        <f>W283*T283</f>
        <v>0</v>
      </c>
      <c r="AT283" s="209">
        <f t="shared" ref="AT283:AU347" si="377">AK283</f>
        <v>4058</v>
      </c>
      <c r="AU283" s="209">
        <f t="shared" si="377"/>
        <v>0</v>
      </c>
      <c r="AV283" s="203"/>
      <c r="AW283" s="251">
        <f>R283*S283</f>
        <v>4058</v>
      </c>
      <c r="AX283" s="251"/>
      <c r="AY283" s="661"/>
      <c r="AZ283" s="661"/>
      <c r="BA283" s="661"/>
    </row>
    <row r="284" spans="2:53" s="76" customFormat="1" ht="63">
      <c r="B284" s="703">
        <f t="shared" si="373"/>
        <v>196</v>
      </c>
      <c r="C284" s="197" t="s">
        <v>1213</v>
      </c>
      <c r="D284" s="198"/>
      <c r="E284" s="703" t="s">
        <v>1819</v>
      </c>
      <c r="F284" s="703">
        <v>4</v>
      </c>
      <c r="G284" s="199">
        <v>4058</v>
      </c>
      <c r="H284" s="736"/>
      <c r="I284" s="199"/>
      <c r="J284" s="736"/>
      <c r="K284" s="199"/>
      <c r="L284" s="199"/>
      <c r="M284" s="736"/>
      <c r="N284" s="199"/>
      <c r="O284" s="736"/>
      <c r="P284" s="199"/>
      <c r="Q284" s="199"/>
      <c r="R284" s="199">
        <f>G284+I284+K284+L284+N284+P284+Q284</f>
        <v>4058</v>
      </c>
      <c r="S284" s="199">
        <v>1</v>
      </c>
      <c r="T284" s="199"/>
      <c r="U284" s="199"/>
      <c r="V284" s="737">
        <v>0.1</v>
      </c>
      <c r="W284" s="199">
        <f>R284*V284</f>
        <v>405.8</v>
      </c>
      <c r="X284" s="718"/>
      <c r="Y284" s="737"/>
      <c r="Z284" s="199"/>
      <c r="AA284" s="199">
        <f>AH284</f>
        <v>3942</v>
      </c>
      <c r="AB284" s="796">
        <f>(R284+Z284+U284+W284)*S284+AA284</f>
        <v>8405.7999999999993</v>
      </c>
      <c r="AC284" s="738">
        <f>AF284</f>
        <v>0</v>
      </c>
      <c r="AD284" s="738">
        <f>AB284+AC284</f>
        <v>8405.7999999999993</v>
      </c>
      <c r="AE284" s="202">
        <f>AB284</f>
        <v>8405.7999999999993</v>
      </c>
      <c r="AF284" s="202">
        <f>AE284-AB284</f>
        <v>0</v>
      </c>
      <c r="AG284" s="738">
        <f>8000*S284</f>
        <v>8000</v>
      </c>
      <c r="AH284" s="202">
        <f>AG284-(R284*S284)</f>
        <v>3942</v>
      </c>
      <c r="AI284" s="203">
        <f>G284*S284</f>
        <v>4058</v>
      </c>
      <c r="AJ284" s="203">
        <f>G284*T284</f>
        <v>0</v>
      </c>
      <c r="AK284" s="203">
        <f>R284*S284</f>
        <v>4058</v>
      </c>
      <c r="AL284" s="203">
        <f>R284*T284</f>
        <v>0</v>
      </c>
      <c r="AM284" s="203">
        <f t="shared" si="376"/>
        <v>0</v>
      </c>
      <c r="AN284" s="203">
        <f t="shared" si="376"/>
        <v>0</v>
      </c>
      <c r="AO284" s="205">
        <f>Z284*S284</f>
        <v>0</v>
      </c>
      <c r="AP284" s="205">
        <f>Z284*T284</f>
        <v>0</v>
      </c>
      <c r="AQ284" s="205">
        <f>AA284</f>
        <v>3942</v>
      </c>
      <c r="AR284" s="205">
        <f>W284*S284</f>
        <v>405.8</v>
      </c>
      <c r="AS284" s="205">
        <f>W284*T284</f>
        <v>0</v>
      </c>
      <c r="AT284" s="209">
        <f t="shared" si="377"/>
        <v>4058</v>
      </c>
      <c r="AU284" s="209">
        <f t="shared" si="377"/>
        <v>0</v>
      </c>
      <c r="AV284" s="203"/>
      <c r="AW284" s="251">
        <f>R284*S284</f>
        <v>4058</v>
      </c>
      <c r="AX284" s="251"/>
      <c r="AY284" s="661"/>
      <c r="AZ284" s="661"/>
      <c r="BA284" s="661"/>
    </row>
    <row r="285" spans="2:53" s="76" customFormat="1" ht="63">
      <c r="B285" s="703">
        <f t="shared" si="373"/>
        <v>197</v>
      </c>
      <c r="C285" s="197" t="s">
        <v>1213</v>
      </c>
      <c r="D285" s="198"/>
      <c r="E285" s="703" t="s">
        <v>1820</v>
      </c>
      <c r="F285" s="703">
        <v>4</v>
      </c>
      <c r="G285" s="199">
        <v>4058</v>
      </c>
      <c r="H285" s="736"/>
      <c r="I285" s="199"/>
      <c r="J285" s="736"/>
      <c r="K285" s="199"/>
      <c r="L285" s="199"/>
      <c r="M285" s="736"/>
      <c r="N285" s="199"/>
      <c r="O285" s="736"/>
      <c r="P285" s="199"/>
      <c r="Q285" s="199"/>
      <c r="R285" s="199">
        <f>G285+I285+K285+L285+N285+P285+Q285</f>
        <v>4058</v>
      </c>
      <c r="S285" s="199">
        <v>1</v>
      </c>
      <c r="T285" s="199"/>
      <c r="U285" s="199"/>
      <c r="V285" s="737">
        <v>0.1</v>
      </c>
      <c r="W285" s="199">
        <f>R285*V285</f>
        <v>405.8</v>
      </c>
      <c r="X285" s="718"/>
      <c r="Y285" s="737"/>
      <c r="Z285" s="199"/>
      <c r="AA285" s="199">
        <f>AH285</f>
        <v>3942</v>
      </c>
      <c r="AB285" s="796">
        <f>(R285+Z285+U285+W285)*S285+AA285</f>
        <v>8405.7999999999993</v>
      </c>
      <c r="AC285" s="738">
        <f>AF285</f>
        <v>0</v>
      </c>
      <c r="AD285" s="738">
        <f>AB285+AC285</f>
        <v>8405.7999999999993</v>
      </c>
      <c r="AE285" s="202">
        <f>AB285</f>
        <v>8405.7999999999993</v>
      </c>
      <c r="AF285" s="202">
        <f>AE285-AB285</f>
        <v>0</v>
      </c>
      <c r="AG285" s="738">
        <f>8000*S285</f>
        <v>8000</v>
      </c>
      <c r="AH285" s="202">
        <f>AG285-(R285*S285)</f>
        <v>3942</v>
      </c>
      <c r="AI285" s="203">
        <f>G285*S285</f>
        <v>4058</v>
      </c>
      <c r="AJ285" s="203">
        <f>G285*T285</f>
        <v>0</v>
      </c>
      <c r="AK285" s="203">
        <f>R285*S285</f>
        <v>4058</v>
      </c>
      <c r="AL285" s="203">
        <f>R285*T285</f>
        <v>0</v>
      </c>
      <c r="AM285" s="203">
        <f t="shared" si="376"/>
        <v>0</v>
      </c>
      <c r="AN285" s="203">
        <f t="shared" si="376"/>
        <v>0</v>
      </c>
      <c r="AO285" s="205">
        <f>Z285*S285</f>
        <v>0</v>
      </c>
      <c r="AP285" s="205">
        <f>Z285*T285</f>
        <v>0</v>
      </c>
      <c r="AQ285" s="205">
        <f>AA285</f>
        <v>3942</v>
      </c>
      <c r="AR285" s="205">
        <f>W285*S285</f>
        <v>405.8</v>
      </c>
      <c r="AS285" s="205">
        <f>W285*T285</f>
        <v>0</v>
      </c>
      <c r="AT285" s="209">
        <f t="shared" si="377"/>
        <v>4058</v>
      </c>
      <c r="AU285" s="209">
        <f t="shared" si="377"/>
        <v>0</v>
      </c>
      <c r="AV285" s="203"/>
      <c r="AW285" s="251">
        <f>R285*S285</f>
        <v>4058</v>
      </c>
      <c r="AX285" s="251"/>
      <c r="AY285" s="661"/>
      <c r="AZ285" s="661"/>
      <c r="BA285" s="661"/>
    </row>
    <row r="286" spans="2:53" s="76" customFormat="1" ht="63">
      <c r="B286" s="703">
        <f t="shared" si="373"/>
        <v>198</v>
      </c>
      <c r="C286" s="197" t="s">
        <v>1213</v>
      </c>
      <c r="D286" s="198"/>
      <c r="E286" s="703" t="s">
        <v>1214</v>
      </c>
      <c r="F286" s="703">
        <v>4</v>
      </c>
      <c r="G286" s="199">
        <v>4058</v>
      </c>
      <c r="H286" s="736"/>
      <c r="I286" s="199"/>
      <c r="J286" s="736"/>
      <c r="K286" s="199"/>
      <c r="L286" s="199"/>
      <c r="M286" s="736"/>
      <c r="N286" s="199"/>
      <c r="O286" s="736"/>
      <c r="P286" s="199"/>
      <c r="Q286" s="199"/>
      <c r="R286" s="199">
        <f>G286+I286+K286+L286+N286+P286+Q286</f>
        <v>4058</v>
      </c>
      <c r="S286" s="199">
        <v>1</v>
      </c>
      <c r="T286" s="199"/>
      <c r="U286" s="199"/>
      <c r="V286" s="737">
        <v>0.1</v>
      </c>
      <c r="W286" s="199">
        <f>R286*V286</f>
        <v>405.8</v>
      </c>
      <c r="X286" s="718"/>
      <c r="Y286" s="737"/>
      <c r="Z286" s="199"/>
      <c r="AA286" s="199">
        <f>AH286</f>
        <v>3942</v>
      </c>
      <c r="AB286" s="796">
        <f>(R286+Z286+U286+W286)*S286+AA286</f>
        <v>8405.7999999999993</v>
      </c>
      <c r="AC286" s="738">
        <f>AF286</f>
        <v>0</v>
      </c>
      <c r="AD286" s="738">
        <f>AB286+AC286</f>
        <v>8405.7999999999993</v>
      </c>
      <c r="AE286" s="202">
        <f>AB286</f>
        <v>8405.7999999999993</v>
      </c>
      <c r="AF286" s="202">
        <f>AE286-AB286</f>
        <v>0</v>
      </c>
      <c r="AG286" s="738">
        <f>8000*S286</f>
        <v>8000</v>
      </c>
      <c r="AH286" s="202">
        <f>AG286-(R286*S286)</f>
        <v>3942</v>
      </c>
      <c r="AI286" s="203">
        <f>G286*S286</f>
        <v>4058</v>
      </c>
      <c r="AJ286" s="203">
        <f>G286*T286</f>
        <v>0</v>
      </c>
      <c r="AK286" s="203">
        <f>R286*S286</f>
        <v>4058</v>
      </c>
      <c r="AL286" s="203">
        <f>R286*T286</f>
        <v>0</v>
      </c>
      <c r="AM286" s="203">
        <f t="shared" si="376"/>
        <v>0</v>
      </c>
      <c r="AN286" s="203">
        <f t="shared" si="376"/>
        <v>0</v>
      </c>
      <c r="AO286" s="205">
        <f>Z286*S286</f>
        <v>0</v>
      </c>
      <c r="AP286" s="205">
        <f>Z286*T286</f>
        <v>0</v>
      </c>
      <c r="AQ286" s="205">
        <f>AA286</f>
        <v>3942</v>
      </c>
      <c r="AR286" s="205">
        <f>W286*S286</f>
        <v>405.8</v>
      </c>
      <c r="AS286" s="205">
        <f>W286*T286</f>
        <v>0</v>
      </c>
      <c r="AT286" s="209">
        <f t="shared" si="377"/>
        <v>4058</v>
      </c>
      <c r="AU286" s="209">
        <f t="shared" si="377"/>
        <v>0</v>
      </c>
      <c r="AV286" s="203"/>
      <c r="AW286" s="251">
        <f>R286*S286</f>
        <v>4058</v>
      </c>
      <c r="AX286" s="251"/>
      <c r="AY286" s="661"/>
      <c r="AZ286" s="661"/>
      <c r="BA286" s="661"/>
    </row>
    <row r="287" spans="2:53" s="76" customFormat="1" ht="31.5">
      <c r="B287" s="703"/>
      <c r="C287" s="180" t="s">
        <v>1736</v>
      </c>
      <c r="D287" s="207"/>
      <c r="E287" s="193"/>
      <c r="F287" s="193"/>
      <c r="G287" s="183">
        <f>SUM(G283:G286)</f>
        <v>16232</v>
      </c>
      <c r="H287" s="731"/>
      <c r="I287" s="193"/>
      <c r="J287" s="731"/>
      <c r="K287" s="193"/>
      <c r="L287" s="193"/>
      <c r="M287" s="731"/>
      <c r="N287" s="193"/>
      <c r="O287" s="731"/>
      <c r="P287" s="193"/>
      <c r="Q287" s="193"/>
      <c r="R287" s="183">
        <f>SUM(R283:R286)</f>
        <v>16232</v>
      </c>
      <c r="S287" s="183">
        <f>SUM(S283:S286)</f>
        <v>4</v>
      </c>
      <c r="T287" s="183">
        <f>SUM(T283:T286)</f>
        <v>0</v>
      </c>
      <c r="U287" s="183"/>
      <c r="V287" s="742"/>
      <c r="W287" s="183">
        <f>SUM(W283:W286)</f>
        <v>1623.2</v>
      </c>
      <c r="X287" s="742"/>
      <c r="Y287" s="742"/>
      <c r="Z287" s="183"/>
      <c r="AA287" s="183">
        <f t="shared" ref="AA287:AV287" si="378">SUM(AA283:AA286)</f>
        <v>15768</v>
      </c>
      <c r="AB287" s="797">
        <f t="shared" si="378"/>
        <v>33623.199999999997</v>
      </c>
      <c r="AC287" s="183">
        <f t="shared" si="378"/>
        <v>0</v>
      </c>
      <c r="AD287" s="183">
        <f>SUM(AD283:AD286)</f>
        <v>33623.199999999997</v>
      </c>
      <c r="AE287" s="183">
        <f t="shared" si="378"/>
        <v>33623.199999999997</v>
      </c>
      <c r="AF287" s="183">
        <f t="shared" si="378"/>
        <v>0</v>
      </c>
      <c r="AG287" s="183">
        <f t="shared" si="378"/>
        <v>32000</v>
      </c>
      <c r="AH287" s="183">
        <f t="shared" si="378"/>
        <v>15768</v>
      </c>
      <c r="AI287" s="183">
        <f t="shared" si="378"/>
        <v>16232</v>
      </c>
      <c r="AJ287" s="183">
        <f t="shared" si="378"/>
        <v>0</v>
      </c>
      <c r="AK287" s="183">
        <f t="shared" si="378"/>
        <v>16232</v>
      </c>
      <c r="AL287" s="183">
        <f t="shared" si="378"/>
        <v>0</v>
      </c>
      <c r="AM287" s="183">
        <f t="shared" si="378"/>
        <v>0</v>
      </c>
      <c r="AN287" s="183">
        <f t="shared" si="378"/>
        <v>0</v>
      </c>
      <c r="AO287" s="183">
        <f t="shared" si="378"/>
        <v>0</v>
      </c>
      <c r="AP287" s="183">
        <f t="shared" si="378"/>
        <v>0</v>
      </c>
      <c r="AQ287" s="183">
        <f t="shared" si="378"/>
        <v>15768</v>
      </c>
      <c r="AR287" s="183">
        <f t="shared" si="378"/>
        <v>1623.2</v>
      </c>
      <c r="AS287" s="183">
        <f t="shared" si="378"/>
        <v>0</v>
      </c>
      <c r="AT287" s="183">
        <f t="shared" si="378"/>
        <v>16232</v>
      </c>
      <c r="AU287" s="183">
        <f t="shared" si="378"/>
        <v>0</v>
      </c>
      <c r="AV287" s="183">
        <f t="shared" si="378"/>
        <v>0</v>
      </c>
      <c r="AW287" s="183">
        <f>SUM(AW283:AW286)</f>
        <v>16232</v>
      </c>
      <c r="AX287" s="183">
        <f>SUM(AX283:AX286)</f>
        <v>0</v>
      </c>
      <c r="AY287" s="661"/>
      <c r="AZ287" s="661"/>
      <c r="BA287" s="661"/>
    </row>
    <row r="288" spans="2:53" s="76" customFormat="1" ht="31.5">
      <c r="B288" s="703"/>
      <c r="C288" s="180" t="s">
        <v>1278</v>
      </c>
      <c r="D288" s="207"/>
      <c r="E288" s="193"/>
      <c r="F288" s="193"/>
      <c r="G288" s="185">
        <f>G258+G267+G273+G281+G287</f>
        <v>185438</v>
      </c>
      <c r="H288" s="753"/>
      <c r="I288" s="185">
        <f t="shared" ref="I288:AB288" si="379">I258+I267+I273+I281+I287</f>
        <v>2485.6999999999998</v>
      </c>
      <c r="J288" s="753"/>
      <c r="K288" s="185">
        <f t="shared" si="379"/>
        <v>23092.25</v>
      </c>
      <c r="L288" s="185"/>
      <c r="M288" s="753"/>
      <c r="N288" s="185"/>
      <c r="O288" s="753"/>
      <c r="P288" s="185"/>
      <c r="Q288" s="185"/>
      <c r="R288" s="185">
        <f t="shared" si="379"/>
        <v>211015.95</v>
      </c>
      <c r="S288" s="183">
        <f t="shared" si="379"/>
        <v>27.5</v>
      </c>
      <c r="T288" s="183">
        <f t="shared" si="379"/>
        <v>2.25</v>
      </c>
      <c r="U288" s="185">
        <f t="shared" si="379"/>
        <v>0</v>
      </c>
      <c r="V288" s="753">
        <f t="shared" si="379"/>
        <v>0</v>
      </c>
      <c r="W288" s="185">
        <f t="shared" si="379"/>
        <v>3885.2</v>
      </c>
      <c r="X288" s="753">
        <f t="shared" si="379"/>
        <v>0</v>
      </c>
      <c r="Y288" s="753">
        <f t="shared" si="379"/>
        <v>0</v>
      </c>
      <c r="Z288" s="185">
        <f t="shared" si="379"/>
        <v>38336.36</v>
      </c>
      <c r="AA288" s="185">
        <f t="shared" si="379"/>
        <v>48580.99</v>
      </c>
      <c r="AB288" s="801">
        <f t="shared" si="379"/>
        <v>267047.15625</v>
      </c>
      <c r="AC288" s="185">
        <f>AC258+AC267+AC273+AC281+AC287</f>
        <v>140338.04375000001</v>
      </c>
      <c r="AD288" s="185">
        <f>AD258+AD267+AD273+AD281+AD287</f>
        <v>407385.2</v>
      </c>
      <c r="AE288" s="185">
        <f t="shared" ref="AE288:AV288" si="380">AE258+AE267+AE273+AE281+AE287</f>
        <v>407385.2</v>
      </c>
      <c r="AF288" s="185">
        <f t="shared" si="380"/>
        <v>140338.04375000001</v>
      </c>
      <c r="AG288" s="185">
        <f>AG258+AG267+AG273+AG281+AG287</f>
        <v>238000</v>
      </c>
      <c r="AH288" s="185">
        <f t="shared" si="380"/>
        <v>23419.033750000002</v>
      </c>
      <c r="AI288" s="185">
        <f t="shared" si="380"/>
        <v>145547.5</v>
      </c>
      <c r="AJ288" s="185">
        <f t="shared" si="380"/>
        <v>16558.5</v>
      </c>
      <c r="AK288" s="185">
        <f t="shared" si="380"/>
        <v>161152.82500000001</v>
      </c>
      <c r="AL288" s="185">
        <f t="shared" si="380"/>
        <v>20698.125</v>
      </c>
      <c r="AM288" s="185">
        <f t="shared" si="380"/>
        <v>15605.325000000001</v>
      </c>
      <c r="AN288" s="185">
        <f t="shared" si="380"/>
        <v>4139.625</v>
      </c>
      <c r="AO288" s="185">
        <f t="shared" si="380"/>
        <v>28363.735000000001</v>
      </c>
      <c r="AP288" s="185">
        <f t="shared" si="380"/>
        <v>4366.28125</v>
      </c>
      <c r="AQ288" s="185">
        <f t="shared" si="380"/>
        <v>48580.99</v>
      </c>
      <c r="AR288" s="185">
        <f t="shared" si="380"/>
        <v>3885.2</v>
      </c>
      <c r="AS288" s="185">
        <f t="shared" si="380"/>
        <v>0</v>
      </c>
      <c r="AT288" s="185">
        <f t="shared" si="380"/>
        <v>161152.82500000001</v>
      </c>
      <c r="AU288" s="185">
        <f t="shared" si="380"/>
        <v>20698.125</v>
      </c>
      <c r="AV288" s="185">
        <f t="shared" si="380"/>
        <v>0</v>
      </c>
      <c r="AW288" s="185">
        <f>AW258+AW267+AW273+AW281+AW287</f>
        <v>181850.95</v>
      </c>
      <c r="AX288" s="185">
        <f>AX258+AX267+AX273+AX281+AX287</f>
        <v>0</v>
      </c>
      <c r="AY288" s="661"/>
      <c r="AZ288" s="661"/>
      <c r="BA288" s="661"/>
    </row>
    <row r="289" spans="2:53" s="76" customFormat="1" ht="61.5">
      <c r="B289" s="703"/>
      <c r="C289" s="191" t="s">
        <v>1782</v>
      </c>
      <c r="D289" s="192"/>
      <c r="E289" s="193"/>
      <c r="F289" s="193"/>
      <c r="G289" s="193"/>
      <c r="H289" s="731"/>
      <c r="I289" s="193"/>
      <c r="J289" s="731"/>
      <c r="K289" s="193"/>
      <c r="L289" s="193"/>
      <c r="M289" s="731"/>
      <c r="N289" s="193"/>
      <c r="O289" s="731"/>
      <c r="P289" s="193"/>
      <c r="Q289" s="193"/>
      <c r="R289" s="193"/>
      <c r="S289" s="193"/>
      <c r="T289" s="193"/>
      <c r="U289" s="193"/>
      <c r="V289" s="732"/>
      <c r="W289" s="193"/>
      <c r="X289" s="732"/>
      <c r="Y289" s="732"/>
      <c r="Z289" s="193"/>
      <c r="AA289" s="193"/>
      <c r="AB289" s="795"/>
      <c r="AC289" s="195"/>
      <c r="AD289" s="195"/>
      <c r="AE289" s="195"/>
      <c r="AF289" s="195"/>
      <c r="AG289" s="195"/>
      <c r="AH289" s="195"/>
      <c r="AI289" s="203"/>
      <c r="AJ289" s="203"/>
      <c r="AK289" s="203"/>
      <c r="AL289" s="203"/>
      <c r="AM289" s="203"/>
      <c r="AN289" s="203"/>
      <c r="AO289" s="205"/>
      <c r="AP289" s="205"/>
      <c r="AQ289" s="205"/>
      <c r="AR289" s="205"/>
      <c r="AS289" s="205"/>
      <c r="AT289" s="209"/>
      <c r="AU289" s="209"/>
      <c r="AV289" s="203"/>
      <c r="AW289" s="251"/>
      <c r="AX289" s="251"/>
      <c r="AY289" s="661"/>
      <c r="AZ289" s="661"/>
      <c r="BA289" s="661"/>
    </row>
    <row r="290" spans="2:53" s="76" customFormat="1" ht="33">
      <c r="B290" s="703"/>
      <c r="C290" s="220" t="s">
        <v>1382</v>
      </c>
      <c r="D290" s="217"/>
      <c r="E290" s="218"/>
      <c r="F290" s="218"/>
      <c r="G290" s="218"/>
      <c r="H290" s="745"/>
      <c r="I290" s="218"/>
      <c r="J290" s="745"/>
      <c r="K290" s="218"/>
      <c r="L290" s="218"/>
      <c r="M290" s="745"/>
      <c r="N290" s="218"/>
      <c r="O290" s="745"/>
      <c r="P290" s="218"/>
      <c r="Q290" s="218"/>
      <c r="R290" s="218"/>
      <c r="S290" s="218"/>
      <c r="T290" s="218"/>
      <c r="U290" s="218"/>
      <c r="V290" s="746"/>
      <c r="W290" s="218"/>
      <c r="X290" s="746"/>
      <c r="Y290" s="746"/>
      <c r="Z290" s="218"/>
      <c r="AA290" s="218"/>
      <c r="AB290" s="799"/>
      <c r="AC290" s="219"/>
      <c r="AD290" s="219"/>
      <c r="AE290" s="219"/>
      <c r="AF290" s="219"/>
      <c r="AG290" s="219"/>
      <c r="AH290" s="219"/>
      <c r="AI290" s="203"/>
      <c r="AJ290" s="203"/>
      <c r="AK290" s="203"/>
      <c r="AL290" s="203"/>
      <c r="AM290" s="203"/>
      <c r="AN290" s="203"/>
      <c r="AO290" s="205"/>
      <c r="AP290" s="205"/>
      <c r="AQ290" s="205"/>
      <c r="AR290" s="205"/>
      <c r="AS290" s="205"/>
      <c r="AT290" s="209"/>
      <c r="AU290" s="209"/>
      <c r="AV290" s="203"/>
      <c r="AW290" s="251"/>
      <c r="AX290" s="251"/>
      <c r="AY290" s="661"/>
      <c r="AZ290" s="661"/>
      <c r="BA290" s="661"/>
    </row>
    <row r="291" spans="2:53" s="76" customFormat="1" ht="33">
      <c r="B291" s="703">
        <f>B286+1</f>
        <v>199</v>
      </c>
      <c r="C291" s="197" t="s">
        <v>1783</v>
      </c>
      <c r="D291" s="198" t="s">
        <v>194</v>
      </c>
      <c r="E291" s="703" t="s">
        <v>195</v>
      </c>
      <c r="F291" s="703">
        <v>14</v>
      </c>
      <c r="G291" s="199">
        <v>7732</v>
      </c>
      <c r="H291" s="737">
        <v>0.2</v>
      </c>
      <c r="I291" s="199">
        <f>G291*H291</f>
        <v>1546.4</v>
      </c>
      <c r="J291" s="737">
        <v>0.15</v>
      </c>
      <c r="K291" s="204">
        <f>(G291+I291)*J291</f>
        <v>1391.76</v>
      </c>
      <c r="L291" s="199"/>
      <c r="M291" s="718"/>
      <c r="N291" s="193"/>
      <c r="O291" s="737">
        <v>0.15</v>
      </c>
      <c r="P291" s="204">
        <f>G291*O291</f>
        <v>1159.8</v>
      </c>
      <c r="Q291" s="201"/>
      <c r="R291" s="199">
        <f>G291+I291+K291+L291+N291+P291+Q291</f>
        <v>11829.96</v>
      </c>
      <c r="S291" s="199">
        <v>1</v>
      </c>
      <c r="T291" s="703"/>
      <c r="U291" s="703"/>
      <c r="V291" s="737"/>
      <c r="W291" s="703"/>
      <c r="X291" s="718">
        <v>29</v>
      </c>
      <c r="Y291" s="737">
        <v>0.3</v>
      </c>
      <c r="Z291" s="199">
        <f t="shared" ref="Z291:Z298" si="381">R291*Y291</f>
        <v>3548.9879999999998</v>
      </c>
      <c r="AA291" s="199"/>
      <c r="AB291" s="796">
        <f>R291+Z291</f>
        <v>15378.947999999999</v>
      </c>
      <c r="AC291" s="738">
        <f t="shared" ref="AC291:AC298" si="382">AF291</f>
        <v>4621.0520000000015</v>
      </c>
      <c r="AD291" s="738">
        <f t="shared" ref="AD291:AD298" si="383">AB291+AC291</f>
        <v>20000</v>
      </c>
      <c r="AE291" s="202">
        <f>20000*S291</f>
        <v>20000</v>
      </c>
      <c r="AF291" s="202">
        <f t="shared" ref="AF291:AF298" si="384">AE291-AB291</f>
        <v>4621.0520000000015</v>
      </c>
      <c r="AG291" s="738">
        <f>8000*S291</f>
        <v>8000</v>
      </c>
      <c r="AH291" s="202">
        <f>AB291-AG291</f>
        <v>7378.9479999999985</v>
      </c>
      <c r="AI291" s="203">
        <f t="shared" ref="AI291:AI298" si="385">G291*S291</f>
        <v>7732</v>
      </c>
      <c r="AJ291" s="203">
        <f t="shared" ref="AJ291:AJ298" si="386">G291*T291</f>
        <v>0</v>
      </c>
      <c r="AK291" s="203">
        <f>R291*S291</f>
        <v>11829.96</v>
      </c>
      <c r="AL291" s="203">
        <f>R291*T291</f>
        <v>0</v>
      </c>
      <c r="AM291" s="203">
        <f t="shared" ref="AM291:AN295" si="387">AK291-AI291</f>
        <v>4097.9599999999991</v>
      </c>
      <c r="AN291" s="203">
        <f t="shared" si="387"/>
        <v>0</v>
      </c>
      <c r="AO291" s="205">
        <f>Z291*S291</f>
        <v>3548.9879999999998</v>
      </c>
      <c r="AP291" s="205">
        <f>Z291*T291</f>
        <v>0</v>
      </c>
      <c r="AQ291" s="205">
        <f>AA291</f>
        <v>0</v>
      </c>
      <c r="AR291" s="205">
        <f>W291*S291</f>
        <v>0</v>
      </c>
      <c r="AS291" s="205">
        <f>W291*T291</f>
        <v>0</v>
      </c>
      <c r="AT291" s="209">
        <f t="shared" si="377"/>
        <v>11829.96</v>
      </c>
      <c r="AU291" s="209">
        <f t="shared" si="377"/>
        <v>0</v>
      </c>
      <c r="AV291" s="203"/>
      <c r="AW291" s="251">
        <f>R291*S291</f>
        <v>11829.96</v>
      </c>
      <c r="AX291" s="251"/>
      <c r="AY291" s="661"/>
      <c r="AZ291" s="661"/>
      <c r="BA291" s="661"/>
    </row>
    <row r="292" spans="2:53" s="76" customFormat="1" ht="33">
      <c r="B292" s="703">
        <f t="shared" si="373"/>
        <v>200</v>
      </c>
      <c r="C292" s="197" t="s">
        <v>1025</v>
      </c>
      <c r="D292" s="198"/>
      <c r="E292" s="703" t="s">
        <v>1741</v>
      </c>
      <c r="F292" s="703">
        <v>14</v>
      </c>
      <c r="G292" s="199">
        <v>7732</v>
      </c>
      <c r="H292" s="718"/>
      <c r="I292" s="703"/>
      <c r="J292" s="718"/>
      <c r="K292" s="703"/>
      <c r="L292" s="703"/>
      <c r="M292" s="718"/>
      <c r="N292" s="193"/>
      <c r="O292" s="737">
        <v>0.15</v>
      </c>
      <c r="P292" s="204">
        <f t="shared" ref="P292:P298" si="388">G292*O292</f>
        <v>1159.8</v>
      </c>
      <c r="Q292" s="201"/>
      <c r="R292" s="199">
        <f t="shared" ref="R292:R298" si="389">G292+I292+K292+L292+N292+P292+Q292</f>
        <v>8891.7999999999993</v>
      </c>
      <c r="S292" s="199">
        <v>1</v>
      </c>
      <c r="T292" s="703"/>
      <c r="U292" s="703"/>
      <c r="V292" s="737"/>
      <c r="W292" s="703"/>
      <c r="X292" s="718"/>
      <c r="Y292" s="737">
        <v>0</v>
      </c>
      <c r="Z292" s="199">
        <f t="shared" si="381"/>
        <v>0</v>
      </c>
      <c r="AA292" s="199"/>
      <c r="AB292" s="796">
        <f>R292+Z292</f>
        <v>8891.7999999999993</v>
      </c>
      <c r="AC292" s="738">
        <f t="shared" si="382"/>
        <v>11108.2</v>
      </c>
      <c r="AD292" s="738">
        <f t="shared" si="383"/>
        <v>20000</v>
      </c>
      <c r="AE292" s="202">
        <f>20000*S292</f>
        <v>20000</v>
      </c>
      <c r="AF292" s="202">
        <f t="shared" si="384"/>
        <v>11108.2</v>
      </c>
      <c r="AG292" s="738">
        <f>8000*S292</f>
        <v>8000</v>
      </c>
      <c r="AH292" s="202">
        <f>AB292-AG292</f>
        <v>891.79999999999927</v>
      </c>
      <c r="AI292" s="203">
        <f t="shared" si="385"/>
        <v>7732</v>
      </c>
      <c r="AJ292" s="203">
        <f t="shared" si="386"/>
        <v>0</v>
      </c>
      <c r="AK292" s="203">
        <f>R292*S292</f>
        <v>8891.7999999999993</v>
      </c>
      <c r="AL292" s="203">
        <f>R292*T292</f>
        <v>0</v>
      </c>
      <c r="AM292" s="203">
        <f t="shared" si="387"/>
        <v>1159.7999999999993</v>
      </c>
      <c r="AN292" s="203">
        <f t="shared" si="387"/>
        <v>0</v>
      </c>
      <c r="AO292" s="205">
        <f>Z292*S292</f>
        <v>0</v>
      </c>
      <c r="AP292" s="205">
        <f>Z292*T292</f>
        <v>0</v>
      </c>
      <c r="AQ292" s="205">
        <f>AA292</f>
        <v>0</v>
      </c>
      <c r="AR292" s="205">
        <f>W292*S292</f>
        <v>0</v>
      </c>
      <c r="AS292" s="205">
        <f>W292*T292</f>
        <v>0</v>
      </c>
      <c r="AT292" s="209">
        <f t="shared" si="377"/>
        <v>8891.7999999999993</v>
      </c>
      <c r="AU292" s="209">
        <f t="shared" si="377"/>
        <v>0</v>
      </c>
      <c r="AV292" s="203"/>
      <c r="AW292" s="251">
        <f>R292*S292</f>
        <v>8891.7999999999993</v>
      </c>
      <c r="AX292" s="251"/>
      <c r="AY292" s="661"/>
      <c r="AZ292" s="661"/>
      <c r="BA292" s="661"/>
    </row>
    <row r="293" spans="2:53" s="76" customFormat="1" ht="58.5">
      <c r="B293" s="703">
        <f t="shared" si="373"/>
        <v>201</v>
      </c>
      <c r="C293" s="197" t="s">
        <v>1025</v>
      </c>
      <c r="D293" s="198" t="s">
        <v>1860</v>
      </c>
      <c r="E293" s="703" t="s">
        <v>1042</v>
      </c>
      <c r="F293" s="703">
        <v>14</v>
      </c>
      <c r="G293" s="199">
        <v>7732</v>
      </c>
      <c r="H293" s="718"/>
      <c r="I293" s="703"/>
      <c r="J293" s="718"/>
      <c r="K293" s="703"/>
      <c r="L293" s="703"/>
      <c r="M293" s="718"/>
      <c r="N293" s="193"/>
      <c r="O293" s="737">
        <v>0.15</v>
      </c>
      <c r="P293" s="204">
        <f>G293*O293</f>
        <v>1159.8</v>
      </c>
      <c r="Q293" s="201"/>
      <c r="R293" s="199">
        <f>G293+I293+K293+L293+N293+P293+Q293</f>
        <v>8891.7999999999993</v>
      </c>
      <c r="S293" s="199">
        <v>1</v>
      </c>
      <c r="T293" s="703"/>
      <c r="U293" s="703"/>
      <c r="V293" s="737"/>
      <c r="W293" s="703"/>
      <c r="X293" s="718">
        <v>23</v>
      </c>
      <c r="Y293" s="737">
        <v>0.3</v>
      </c>
      <c r="Z293" s="199">
        <f t="shared" si="381"/>
        <v>2667.5399999999995</v>
      </c>
      <c r="AA293" s="199"/>
      <c r="AB293" s="796">
        <f>R293+Z293</f>
        <v>11559.339999999998</v>
      </c>
      <c r="AC293" s="738">
        <f>AF293</f>
        <v>8440.6600000000017</v>
      </c>
      <c r="AD293" s="738">
        <f>AB293+AC293</f>
        <v>20000</v>
      </c>
      <c r="AE293" s="202">
        <f>20000*S293</f>
        <v>20000</v>
      </c>
      <c r="AF293" s="202">
        <f t="shared" si="384"/>
        <v>8440.6600000000017</v>
      </c>
      <c r="AG293" s="738">
        <f>8000*S293</f>
        <v>8000</v>
      </c>
      <c r="AH293" s="202">
        <f>AB293-AG293</f>
        <v>3559.3399999999983</v>
      </c>
      <c r="AI293" s="203">
        <f>G293*S293</f>
        <v>7732</v>
      </c>
      <c r="AJ293" s="203">
        <f>G293*T293</f>
        <v>0</v>
      </c>
      <c r="AK293" s="203">
        <f>R293*S293</f>
        <v>8891.7999999999993</v>
      </c>
      <c r="AL293" s="203">
        <f>R293*T293</f>
        <v>0</v>
      </c>
      <c r="AM293" s="203">
        <f t="shared" si="387"/>
        <v>1159.7999999999993</v>
      </c>
      <c r="AN293" s="203">
        <f t="shared" si="387"/>
        <v>0</v>
      </c>
      <c r="AO293" s="205">
        <f>Z293*S293</f>
        <v>2667.5399999999995</v>
      </c>
      <c r="AP293" s="205">
        <f>Z293*T293</f>
        <v>0</v>
      </c>
      <c r="AQ293" s="205">
        <f>AA293</f>
        <v>0</v>
      </c>
      <c r="AR293" s="205">
        <f>W293*S293</f>
        <v>0</v>
      </c>
      <c r="AS293" s="205">
        <f>W293*T293</f>
        <v>0</v>
      </c>
      <c r="AT293" s="209">
        <f t="shared" si="377"/>
        <v>8891.7999999999993</v>
      </c>
      <c r="AU293" s="209">
        <f t="shared" si="377"/>
        <v>0</v>
      </c>
      <c r="AV293" s="203"/>
      <c r="AW293" s="251">
        <f>R293*S293</f>
        <v>8891.7999999999993</v>
      </c>
      <c r="AX293" s="251"/>
      <c r="AY293" s="661"/>
      <c r="AZ293" s="661"/>
      <c r="BA293" s="661"/>
    </row>
    <row r="294" spans="2:53" s="76" customFormat="1" ht="58.5">
      <c r="B294" s="703">
        <f t="shared" si="373"/>
        <v>202</v>
      </c>
      <c r="C294" s="197" t="s">
        <v>1025</v>
      </c>
      <c r="D294" s="198" t="s">
        <v>1043</v>
      </c>
      <c r="E294" s="703" t="s">
        <v>1044</v>
      </c>
      <c r="F294" s="703">
        <v>14</v>
      </c>
      <c r="G294" s="199">
        <v>7732</v>
      </c>
      <c r="H294" s="718"/>
      <c r="I294" s="703"/>
      <c r="J294" s="718"/>
      <c r="K294" s="703"/>
      <c r="L294" s="703"/>
      <c r="M294" s="718"/>
      <c r="N294" s="193"/>
      <c r="O294" s="737">
        <v>0.15</v>
      </c>
      <c r="P294" s="204">
        <f t="shared" si="388"/>
        <v>1159.8</v>
      </c>
      <c r="Q294" s="201"/>
      <c r="R294" s="199">
        <f t="shared" si="389"/>
        <v>8891.7999999999993</v>
      </c>
      <c r="S294" s="199">
        <v>1</v>
      </c>
      <c r="T294" s="199"/>
      <c r="U294" s="703"/>
      <c r="V294" s="737"/>
      <c r="W294" s="703"/>
      <c r="X294" s="718">
        <v>34</v>
      </c>
      <c r="Y294" s="737">
        <v>0.3</v>
      </c>
      <c r="Z294" s="199">
        <f t="shared" si="381"/>
        <v>2667.5399999999995</v>
      </c>
      <c r="AA294" s="199"/>
      <c r="AB294" s="796">
        <f>R294+Z294</f>
        <v>11559.339999999998</v>
      </c>
      <c r="AC294" s="738">
        <f>AF294</f>
        <v>8440.6600000000017</v>
      </c>
      <c r="AD294" s="738">
        <f>AB294+AC294</f>
        <v>20000</v>
      </c>
      <c r="AE294" s="202">
        <f>20000*S294</f>
        <v>20000</v>
      </c>
      <c r="AF294" s="202">
        <f t="shared" si="384"/>
        <v>8440.6600000000017</v>
      </c>
      <c r="AG294" s="738">
        <f>8000*S294</f>
        <v>8000</v>
      </c>
      <c r="AH294" s="202">
        <f>AB294-AG294</f>
        <v>3559.3399999999983</v>
      </c>
      <c r="AI294" s="203">
        <f t="shared" si="385"/>
        <v>7732</v>
      </c>
      <c r="AJ294" s="203">
        <f t="shared" si="386"/>
        <v>0</v>
      </c>
      <c r="AK294" s="203">
        <f>R294*S294</f>
        <v>8891.7999999999993</v>
      </c>
      <c r="AL294" s="203">
        <f>R294*T294</f>
        <v>0</v>
      </c>
      <c r="AM294" s="203">
        <f t="shared" si="387"/>
        <v>1159.7999999999993</v>
      </c>
      <c r="AN294" s="203">
        <f t="shared" si="387"/>
        <v>0</v>
      </c>
      <c r="AO294" s="205">
        <f>Z294*S294</f>
        <v>2667.5399999999995</v>
      </c>
      <c r="AP294" s="205">
        <f>Z294*T294</f>
        <v>0</v>
      </c>
      <c r="AQ294" s="205">
        <f>AA294</f>
        <v>0</v>
      </c>
      <c r="AR294" s="205">
        <f>W294*S294</f>
        <v>0</v>
      </c>
      <c r="AS294" s="205">
        <f>W294*T294</f>
        <v>0</v>
      </c>
      <c r="AT294" s="209">
        <f t="shared" si="377"/>
        <v>8891.7999999999993</v>
      </c>
      <c r="AU294" s="209">
        <f t="shared" si="377"/>
        <v>0</v>
      </c>
      <c r="AV294" s="203"/>
      <c r="AW294" s="251">
        <f>R294*S294</f>
        <v>8891.7999999999993</v>
      </c>
      <c r="AX294" s="251"/>
      <c r="AY294" s="661"/>
      <c r="AZ294" s="661"/>
      <c r="BA294" s="661"/>
    </row>
    <row r="295" spans="2:53" s="76" customFormat="1" ht="87.75">
      <c r="B295" s="703">
        <f t="shared" si="373"/>
        <v>203</v>
      </c>
      <c r="C295" s="197" t="s">
        <v>1025</v>
      </c>
      <c r="D295" s="198" t="s">
        <v>1784</v>
      </c>
      <c r="E295" s="703" t="s">
        <v>1058</v>
      </c>
      <c r="F295" s="703">
        <v>11</v>
      </c>
      <c r="G295" s="199">
        <v>6294</v>
      </c>
      <c r="H295" s="718"/>
      <c r="I295" s="703"/>
      <c r="J295" s="718"/>
      <c r="K295" s="703"/>
      <c r="L295" s="703"/>
      <c r="M295" s="718"/>
      <c r="N295" s="193"/>
      <c r="O295" s="737">
        <v>0.15</v>
      </c>
      <c r="P295" s="204">
        <f t="shared" si="388"/>
        <v>944.09999999999991</v>
      </c>
      <c r="Q295" s="201"/>
      <c r="R295" s="199">
        <f>G295+I295+K295+L295+N295+P295+Q295</f>
        <v>7238.1</v>
      </c>
      <c r="S295" s="199"/>
      <c r="T295" s="199">
        <v>0.5</v>
      </c>
      <c r="U295" s="703"/>
      <c r="V295" s="737"/>
      <c r="W295" s="703"/>
      <c r="X295" s="718">
        <v>3</v>
      </c>
      <c r="Y295" s="737">
        <v>0.1</v>
      </c>
      <c r="Z295" s="199">
        <f t="shared" si="381"/>
        <v>723.81000000000006</v>
      </c>
      <c r="AA295" s="199">
        <f>AH295</f>
        <v>19.044999999999618</v>
      </c>
      <c r="AB295" s="796">
        <f>(R295+Z295)*T295+AA295</f>
        <v>4000</v>
      </c>
      <c r="AC295" s="738">
        <f>AF295</f>
        <v>6000</v>
      </c>
      <c r="AD295" s="738">
        <f>AB295+AC295</f>
        <v>10000</v>
      </c>
      <c r="AE295" s="202">
        <f>20000*T295</f>
        <v>10000</v>
      </c>
      <c r="AF295" s="202">
        <f t="shared" si="384"/>
        <v>6000</v>
      </c>
      <c r="AG295" s="738">
        <f>8000*T295</f>
        <v>4000</v>
      </c>
      <c r="AH295" s="202">
        <f>AG295-(R295+Z295)*T295</f>
        <v>19.044999999999618</v>
      </c>
      <c r="AI295" s="203">
        <f t="shared" si="385"/>
        <v>0</v>
      </c>
      <c r="AJ295" s="203">
        <f t="shared" si="386"/>
        <v>3147</v>
      </c>
      <c r="AK295" s="203">
        <f>R295*S295</f>
        <v>0</v>
      </c>
      <c r="AL295" s="203">
        <f>R295*T295</f>
        <v>3619.05</v>
      </c>
      <c r="AM295" s="203">
        <f t="shared" si="387"/>
        <v>0</v>
      </c>
      <c r="AN295" s="203">
        <f t="shared" si="387"/>
        <v>472.05000000000018</v>
      </c>
      <c r="AO295" s="205">
        <f>Z295*S295</f>
        <v>0</v>
      </c>
      <c r="AP295" s="205">
        <f>Z295*T295</f>
        <v>361.90500000000003</v>
      </c>
      <c r="AQ295" s="205">
        <f>AA295</f>
        <v>19.044999999999618</v>
      </c>
      <c r="AR295" s="205">
        <f>W295*S295</f>
        <v>0</v>
      </c>
      <c r="AS295" s="205">
        <f>W295*T295</f>
        <v>0</v>
      </c>
      <c r="AT295" s="209">
        <f t="shared" si="377"/>
        <v>0</v>
      </c>
      <c r="AU295" s="209">
        <f t="shared" si="377"/>
        <v>3619.05</v>
      </c>
      <c r="AV295" s="203"/>
      <c r="AW295" s="251">
        <f>R295*T295</f>
        <v>3619.05</v>
      </c>
      <c r="AX295" s="251"/>
      <c r="AY295" s="661"/>
      <c r="AZ295" s="661"/>
      <c r="BA295" s="661"/>
    </row>
    <row r="296" spans="2:53" s="76" customFormat="1" ht="33">
      <c r="B296" s="703">
        <f t="shared" si="373"/>
        <v>204</v>
      </c>
      <c r="C296" s="197" t="s">
        <v>1025</v>
      </c>
      <c r="D296" s="198" t="s">
        <v>167</v>
      </c>
      <c r="E296" s="703" t="s">
        <v>196</v>
      </c>
      <c r="F296" s="703">
        <v>11</v>
      </c>
      <c r="G296" s="199">
        <v>6294</v>
      </c>
      <c r="H296" s="718"/>
      <c r="I296" s="703"/>
      <c r="J296" s="718"/>
      <c r="K296" s="703"/>
      <c r="L296" s="703"/>
      <c r="M296" s="718"/>
      <c r="N296" s="193"/>
      <c r="O296" s="737">
        <v>0.15</v>
      </c>
      <c r="P296" s="204">
        <f t="shared" si="388"/>
        <v>944.09999999999991</v>
      </c>
      <c r="Q296" s="201"/>
      <c r="R296" s="199">
        <f>G296+I296+K296+L296+N296+P296+Q296</f>
        <v>7238.1</v>
      </c>
      <c r="S296" s="199">
        <v>1</v>
      </c>
      <c r="T296" s="199"/>
      <c r="U296" s="703"/>
      <c r="V296" s="737"/>
      <c r="W296" s="703"/>
      <c r="X296" s="718">
        <v>5</v>
      </c>
      <c r="Y296" s="737">
        <v>0.1</v>
      </c>
      <c r="Z296" s="199">
        <f t="shared" si="381"/>
        <v>723.81000000000006</v>
      </c>
      <c r="AA296" s="199">
        <f>AH296</f>
        <v>38.089999999999236</v>
      </c>
      <c r="AB296" s="796">
        <f>(R296+Z296)*S296+AA296</f>
        <v>8000</v>
      </c>
      <c r="AC296" s="738">
        <f>AF296</f>
        <v>12000</v>
      </c>
      <c r="AD296" s="738">
        <f>AB296+AC296</f>
        <v>20000</v>
      </c>
      <c r="AE296" s="202">
        <f>20000*S296</f>
        <v>20000</v>
      </c>
      <c r="AF296" s="202">
        <f t="shared" si="384"/>
        <v>12000</v>
      </c>
      <c r="AG296" s="738">
        <f>8000*S296</f>
        <v>8000</v>
      </c>
      <c r="AH296" s="202">
        <f>AG296-(R296+Z296)*S296</f>
        <v>38.089999999999236</v>
      </c>
      <c r="AI296" s="203"/>
      <c r="AJ296" s="203"/>
      <c r="AK296" s="203"/>
      <c r="AL296" s="203"/>
      <c r="AM296" s="203"/>
      <c r="AN296" s="203"/>
      <c r="AO296" s="205"/>
      <c r="AP296" s="205"/>
      <c r="AQ296" s="205"/>
      <c r="AR296" s="205"/>
      <c r="AS296" s="205"/>
      <c r="AT296" s="209"/>
      <c r="AU296" s="209"/>
      <c r="AV296" s="203"/>
      <c r="AW296" s="251">
        <f>R296*S296</f>
        <v>7238.1</v>
      </c>
      <c r="AX296" s="251"/>
      <c r="AY296" s="661"/>
      <c r="AZ296" s="661"/>
      <c r="BA296" s="661"/>
    </row>
    <row r="297" spans="2:53" s="76" customFormat="1" ht="58.5">
      <c r="B297" s="703">
        <f>1+B296</f>
        <v>205</v>
      </c>
      <c r="C297" s="197" t="s">
        <v>1025</v>
      </c>
      <c r="D297" s="198" t="s">
        <v>1785</v>
      </c>
      <c r="E297" s="703" t="s">
        <v>1786</v>
      </c>
      <c r="F297" s="703">
        <v>12</v>
      </c>
      <c r="G297" s="199">
        <v>6773</v>
      </c>
      <c r="H297" s="718"/>
      <c r="I297" s="703"/>
      <c r="J297" s="718"/>
      <c r="K297" s="703"/>
      <c r="L297" s="703"/>
      <c r="M297" s="718"/>
      <c r="N297" s="193"/>
      <c r="O297" s="737">
        <v>0.15</v>
      </c>
      <c r="P297" s="204">
        <f t="shared" si="388"/>
        <v>1015.9499999999999</v>
      </c>
      <c r="Q297" s="201"/>
      <c r="R297" s="199">
        <f t="shared" si="389"/>
        <v>7788.95</v>
      </c>
      <c r="S297" s="199"/>
      <c r="T297" s="199">
        <v>0.5</v>
      </c>
      <c r="U297" s="703"/>
      <c r="V297" s="737"/>
      <c r="W297" s="703"/>
      <c r="X297" s="718">
        <v>11</v>
      </c>
      <c r="Y297" s="737">
        <v>0.2</v>
      </c>
      <c r="Z297" s="199">
        <f t="shared" si="381"/>
        <v>1557.79</v>
      </c>
      <c r="AA297" s="199"/>
      <c r="AB297" s="796">
        <f>(R297+Z297)*T297+AA297</f>
        <v>4673.37</v>
      </c>
      <c r="AC297" s="738">
        <f t="shared" si="382"/>
        <v>5326.63</v>
      </c>
      <c r="AD297" s="738">
        <f t="shared" si="383"/>
        <v>10000</v>
      </c>
      <c r="AE297" s="202">
        <f>20000*T297</f>
        <v>10000</v>
      </c>
      <c r="AF297" s="202">
        <f t="shared" si="384"/>
        <v>5326.63</v>
      </c>
      <c r="AG297" s="738">
        <f>8000*T297</f>
        <v>4000</v>
      </c>
      <c r="AH297" s="202">
        <f>AG297-(R297+Z297)*T297</f>
        <v>-673.36999999999989</v>
      </c>
      <c r="AI297" s="203">
        <f>G297*S297</f>
        <v>0</v>
      </c>
      <c r="AJ297" s="203">
        <f>G297*T297</f>
        <v>3386.5</v>
      </c>
      <c r="AK297" s="203">
        <f>R297*S297</f>
        <v>0</v>
      </c>
      <c r="AL297" s="203">
        <f>R297*T297</f>
        <v>3894.4749999999999</v>
      </c>
      <c r="AM297" s="203">
        <f>AK297-AI297</f>
        <v>0</v>
      </c>
      <c r="AN297" s="203">
        <f>AL297-AJ297</f>
        <v>507.97499999999991</v>
      </c>
      <c r="AO297" s="205">
        <f>Z297*S297</f>
        <v>0</v>
      </c>
      <c r="AP297" s="205">
        <f>Z297*T297</f>
        <v>778.89499999999998</v>
      </c>
      <c r="AQ297" s="205">
        <f>AA297</f>
        <v>0</v>
      </c>
      <c r="AR297" s="205">
        <f>W297*S297</f>
        <v>0</v>
      </c>
      <c r="AS297" s="205">
        <f>W297*T297</f>
        <v>0</v>
      </c>
      <c r="AT297" s="209">
        <f t="shared" si="377"/>
        <v>0</v>
      </c>
      <c r="AU297" s="209">
        <f t="shared" si="377"/>
        <v>3894.4749999999999</v>
      </c>
      <c r="AV297" s="203"/>
      <c r="AW297" s="251">
        <f>R297*T297</f>
        <v>3894.4749999999999</v>
      </c>
      <c r="AX297" s="251"/>
      <c r="AY297" s="661"/>
      <c r="AZ297" s="661"/>
      <c r="BA297" s="661"/>
    </row>
    <row r="298" spans="2:53" s="76" customFormat="1" ht="87.75">
      <c r="B298" s="703">
        <f t="shared" si="373"/>
        <v>206</v>
      </c>
      <c r="C298" s="197" t="s">
        <v>1025</v>
      </c>
      <c r="D298" s="198" t="s">
        <v>1787</v>
      </c>
      <c r="E298" s="703" t="s">
        <v>1359</v>
      </c>
      <c r="F298" s="703">
        <v>11</v>
      </c>
      <c r="G298" s="199">
        <v>6294</v>
      </c>
      <c r="H298" s="718"/>
      <c r="I298" s="703"/>
      <c r="J298" s="718"/>
      <c r="K298" s="703"/>
      <c r="L298" s="703"/>
      <c r="M298" s="718"/>
      <c r="N298" s="193"/>
      <c r="O298" s="737">
        <v>0.15</v>
      </c>
      <c r="P298" s="204">
        <f t="shared" si="388"/>
        <v>944.09999999999991</v>
      </c>
      <c r="Q298" s="201"/>
      <c r="R298" s="199">
        <f t="shared" si="389"/>
        <v>7238.1</v>
      </c>
      <c r="S298" s="199">
        <v>1</v>
      </c>
      <c r="T298" s="703"/>
      <c r="U298" s="703"/>
      <c r="V298" s="737"/>
      <c r="W298" s="703"/>
      <c r="X298" s="718">
        <v>7</v>
      </c>
      <c r="Y298" s="737">
        <v>0.1</v>
      </c>
      <c r="Z298" s="199">
        <f t="shared" si="381"/>
        <v>723.81000000000006</v>
      </c>
      <c r="AA298" s="199">
        <f>AH298</f>
        <v>38.089999999999236</v>
      </c>
      <c r="AB298" s="796">
        <f>(R298+Z298)*S298+AA298</f>
        <v>8000</v>
      </c>
      <c r="AC298" s="738">
        <f t="shared" si="382"/>
        <v>12000</v>
      </c>
      <c r="AD298" s="738">
        <f t="shared" si="383"/>
        <v>20000</v>
      </c>
      <c r="AE298" s="202">
        <f>20000*S298</f>
        <v>20000</v>
      </c>
      <c r="AF298" s="202">
        <f t="shared" si="384"/>
        <v>12000</v>
      </c>
      <c r="AG298" s="738">
        <f>8000*S298</f>
        <v>8000</v>
      </c>
      <c r="AH298" s="202">
        <f>AG298-(R298+Z298)*S298</f>
        <v>38.089999999999236</v>
      </c>
      <c r="AI298" s="203">
        <f t="shared" si="385"/>
        <v>6294</v>
      </c>
      <c r="AJ298" s="203">
        <f t="shared" si="386"/>
        <v>0</v>
      </c>
      <c r="AK298" s="203">
        <f>R298*S298</f>
        <v>7238.1</v>
      </c>
      <c r="AL298" s="203">
        <f>R298*T298</f>
        <v>0</v>
      </c>
      <c r="AM298" s="203">
        <f>AK298-AI298</f>
        <v>944.10000000000036</v>
      </c>
      <c r="AN298" s="203">
        <f>AL298-AJ298</f>
        <v>0</v>
      </c>
      <c r="AO298" s="205">
        <f>Z298*S298</f>
        <v>723.81000000000006</v>
      </c>
      <c r="AP298" s="205">
        <f>Z298*T298</f>
        <v>0</v>
      </c>
      <c r="AQ298" s="205">
        <f>AA298</f>
        <v>38.089999999999236</v>
      </c>
      <c r="AR298" s="205">
        <f>W298*S298</f>
        <v>0</v>
      </c>
      <c r="AS298" s="205">
        <f>W298*T298</f>
        <v>0</v>
      </c>
      <c r="AT298" s="209">
        <f t="shared" si="377"/>
        <v>7238.1</v>
      </c>
      <c r="AU298" s="209">
        <f t="shared" si="377"/>
        <v>0</v>
      </c>
      <c r="AV298" s="203"/>
      <c r="AW298" s="251">
        <f>R298*S298</f>
        <v>7238.1</v>
      </c>
      <c r="AX298" s="251"/>
      <c r="AY298" s="661"/>
      <c r="AZ298" s="661"/>
      <c r="BA298" s="661"/>
    </row>
    <row r="299" spans="2:53" s="76" customFormat="1" ht="31.5">
      <c r="B299" s="703"/>
      <c r="C299" s="180" t="s">
        <v>1736</v>
      </c>
      <c r="D299" s="207"/>
      <c r="E299" s="193"/>
      <c r="F299" s="193"/>
      <c r="G299" s="183">
        <f>SUM(G291:G298)</f>
        <v>56583</v>
      </c>
      <c r="H299" s="752"/>
      <c r="I299" s="183"/>
      <c r="J299" s="754"/>
      <c r="K299" s="185"/>
      <c r="L299" s="193"/>
      <c r="M299" s="731"/>
      <c r="N299" s="193"/>
      <c r="O299" s="731"/>
      <c r="P299" s="184">
        <f>SUM(P291:P298)</f>
        <v>8487.4499999999989</v>
      </c>
      <c r="Q299" s="193"/>
      <c r="R299" s="183">
        <f>SUM(R291:R298)</f>
        <v>68008.61</v>
      </c>
      <c r="S299" s="183">
        <f>SUM(S291:S298)</f>
        <v>6</v>
      </c>
      <c r="T299" s="183">
        <f>SUM(T291:T298)</f>
        <v>1</v>
      </c>
      <c r="U299" s="183"/>
      <c r="V299" s="742"/>
      <c r="W299" s="183"/>
      <c r="X299" s="742"/>
      <c r="Y299" s="742"/>
      <c r="Z299" s="183">
        <f>SUM(Z291:Z298)</f>
        <v>12613.287999999999</v>
      </c>
      <c r="AA299" s="183">
        <f>SUM(AA291:AA298)</f>
        <v>95.22499999999809</v>
      </c>
      <c r="AB299" s="797">
        <f>SUM(AB291:AB298)</f>
        <v>72062.797999999995</v>
      </c>
      <c r="AC299" s="183">
        <f>SUM(AC291:AC298)</f>
        <v>67937.202000000005</v>
      </c>
      <c r="AD299" s="183">
        <f>SUM(AD291:AD298)</f>
        <v>140000</v>
      </c>
      <c r="AE299" s="183">
        <f t="shared" ref="AE299:AV299" si="390">SUM(AE291:AE298)</f>
        <v>140000</v>
      </c>
      <c r="AF299" s="183">
        <f t="shared" si="390"/>
        <v>67937.202000000005</v>
      </c>
      <c r="AG299" s="183">
        <f>SUM(AG291:AG298)</f>
        <v>56000</v>
      </c>
      <c r="AH299" s="183">
        <f t="shared" si="390"/>
        <v>14811.282999999996</v>
      </c>
      <c r="AI299" s="183">
        <f t="shared" si="390"/>
        <v>37222</v>
      </c>
      <c r="AJ299" s="183">
        <f t="shared" si="390"/>
        <v>6533.5</v>
      </c>
      <c r="AK299" s="183">
        <f t="shared" si="390"/>
        <v>45743.46</v>
      </c>
      <c r="AL299" s="183">
        <f t="shared" si="390"/>
        <v>7513.5249999999996</v>
      </c>
      <c r="AM299" s="183">
        <f t="shared" si="390"/>
        <v>8521.4599999999973</v>
      </c>
      <c r="AN299" s="183">
        <f t="shared" si="390"/>
        <v>980.02500000000009</v>
      </c>
      <c r="AO299" s="183">
        <f t="shared" si="390"/>
        <v>9607.8779999999988</v>
      </c>
      <c r="AP299" s="183">
        <f t="shared" si="390"/>
        <v>1140.8</v>
      </c>
      <c r="AQ299" s="183">
        <f t="shared" si="390"/>
        <v>57.134999999998854</v>
      </c>
      <c r="AR299" s="183">
        <f t="shared" si="390"/>
        <v>0</v>
      </c>
      <c r="AS299" s="183">
        <f t="shared" si="390"/>
        <v>0</v>
      </c>
      <c r="AT299" s="183">
        <f t="shared" si="390"/>
        <v>45743.46</v>
      </c>
      <c r="AU299" s="183">
        <f t="shared" si="390"/>
        <v>7513.5249999999996</v>
      </c>
      <c r="AV299" s="183">
        <f t="shared" si="390"/>
        <v>0</v>
      </c>
      <c r="AW299" s="183">
        <f>SUM(AW291:AW298)</f>
        <v>60495.084999999999</v>
      </c>
      <c r="AX299" s="183">
        <f>SUM(AX291:AX298)</f>
        <v>0</v>
      </c>
      <c r="AY299" s="661"/>
      <c r="AZ299" s="661"/>
      <c r="BA299" s="661"/>
    </row>
    <row r="300" spans="2:53" s="76" customFormat="1" ht="33">
      <c r="B300" s="703"/>
      <c r="C300" s="220" t="s">
        <v>1581</v>
      </c>
      <c r="D300" s="192"/>
      <c r="E300" s="193"/>
      <c r="F300" s="193"/>
      <c r="G300" s="193"/>
      <c r="H300" s="731"/>
      <c r="I300" s="193"/>
      <c r="J300" s="731"/>
      <c r="K300" s="193"/>
      <c r="L300" s="193"/>
      <c r="M300" s="731"/>
      <c r="N300" s="193"/>
      <c r="O300" s="731"/>
      <c r="P300" s="193"/>
      <c r="Q300" s="193"/>
      <c r="R300" s="193"/>
      <c r="S300" s="193"/>
      <c r="T300" s="193"/>
      <c r="U300" s="193"/>
      <c r="V300" s="732"/>
      <c r="W300" s="193"/>
      <c r="X300" s="732"/>
      <c r="Y300" s="732"/>
      <c r="Z300" s="193"/>
      <c r="AA300" s="193"/>
      <c r="AB300" s="795"/>
      <c r="AC300" s="195"/>
      <c r="AD300" s="195"/>
      <c r="AE300" s="195"/>
      <c r="AF300" s="195"/>
      <c r="AG300" s="195"/>
      <c r="AH300" s="195"/>
      <c r="AI300" s="203"/>
      <c r="AJ300" s="203"/>
      <c r="AK300" s="203"/>
      <c r="AL300" s="203"/>
      <c r="AM300" s="203"/>
      <c r="AN300" s="203"/>
      <c r="AO300" s="205"/>
      <c r="AP300" s="205"/>
      <c r="AQ300" s="205"/>
      <c r="AR300" s="205"/>
      <c r="AS300" s="205"/>
      <c r="AT300" s="209"/>
      <c r="AU300" s="209"/>
      <c r="AV300" s="203"/>
      <c r="AW300" s="251"/>
      <c r="AX300" s="251"/>
      <c r="AY300" s="661"/>
      <c r="AZ300" s="661"/>
      <c r="BA300" s="661"/>
    </row>
    <row r="301" spans="2:53" s="76" customFormat="1" ht="63">
      <c r="B301" s="703">
        <f>B298+1</f>
        <v>207</v>
      </c>
      <c r="C301" s="197" t="s">
        <v>1080</v>
      </c>
      <c r="D301" s="198" t="s">
        <v>1805</v>
      </c>
      <c r="E301" s="703" t="s">
        <v>1142</v>
      </c>
      <c r="F301" s="703">
        <v>10</v>
      </c>
      <c r="G301" s="199">
        <v>5815</v>
      </c>
      <c r="H301" s="737">
        <v>0.1</v>
      </c>
      <c r="I301" s="703">
        <f>G301*H301</f>
        <v>581.5</v>
      </c>
      <c r="J301" s="741"/>
      <c r="K301" s="206"/>
      <c r="L301" s="206"/>
      <c r="M301" s="741"/>
      <c r="N301" s="206"/>
      <c r="O301" s="737">
        <v>0.15</v>
      </c>
      <c r="P301" s="199">
        <f>(G301+I301)*O301</f>
        <v>959.47499999999991</v>
      </c>
      <c r="Q301" s="206"/>
      <c r="R301" s="199">
        <f>G301+I301+K301+L301+N301+P301+Q301</f>
        <v>7355.9750000000004</v>
      </c>
      <c r="S301" s="199">
        <v>1</v>
      </c>
      <c r="T301" s="206"/>
      <c r="U301" s="206"/>
      <c r="V301" s="741"/>
      <c r="W301" s="206"/>
      <c r="X301" s="718">
        <v>30</v>
      </c>
      <c r="Y301" s="737">
        <v>0.3</v>
      </c>
      <c r="Z301" s="199">
        <f>R301*Y301</f>
        <v>2206.7925</v>
      </c>
      <c r="AA301" s="199"/>
      <c r="AB301" s="796">
        <f>(R301+Z301)*S301+AA301</f>
        <v>9562.7674999999999</v>
      </c>
      <c r="AC301" s="738">
        <f t="shared" ref="AC301:AC312" si="391">AF301</f>
        <v>3937.2325000000001</v>
      </c>
      <c r="AD301" s="738">
        <f t="shared" ref="AD301:AD312" si="392">AB301+AC301</f>
        <v>13500</v>
      </c>
      <c r="AE301" s="202">
        <f>13500*S301</f>
        <v>13500</v>
      </c>
      <c r="AF301" s="202">
        <f t="shared" ref="AF301:AF312" si="393">AE301-AB301</f>
        <v>3937.2325000000001</v>
      </c>
      <c r="AG301" s="738">
        <f>8000*S301</f>
        <v>8000</v>
      </c>
      <c r="AH301" s="202">
        <f>AG301-(R301+Z301)*S301</f>
        <v>-1562.7674999999999</v>
      </c>
      <c r="AI301" s="203">
        <f t="shared" ref="AI301:AI312" si="394">G301*S301</f>
        <v>5815</v>
      </c>
      <c r="AJ301" s="203">
        <f>G301*T301</f>
        <v>0</v>
      </c>
      <c r="AK301" s="203">
        <f t="shared" ref="AK301:AK312" si="395">R301*S301</f>
        <v>7355.9750000000004</v>
      </c>
      <c r="AL301" s="203">
        <f>R301*T301</f>
        <v>0</v>
      </c>
      <c r="AM301" s="203">
        <f t="shared" ref="AM301:AN312" si="396">AK301-AI301</f>
        <v>1540.9750000000004</v>
      </c>
      <c r="AN301" s="203">
        <f t="shared" si="396"/>
        <v>0</v>
      </c>
      <c r="AO301" s="205">
        <f t="shared" ref="AO301:AO312" si="397">Z301*S301</f>
        <v>2206.7925</v>
      </c>
      <c r="AP301" s="205">
        <f t="shared" ref="AP301:AP312" si="398">Z301*T301</f>
        <v>0</v>
      </c>
      <c r="AQ301" s="205">
        <f t="shared" ref="AQ301:AQ312" si="399">AA301</f>
        <v>0</v>
      </c>
      <c r="AR301" s="205">
        <f t="shared" ref="AR301:AR311" si="400">W301*S301</f>
        <v>0</v>
      </c>
      <c r="AS301" s="205">
        <f t="shared" ref="AS301:AS311" si="401">W301*T301</f>
        <v>0</v>
      </c>
      <c r="AT301" s="209">
        <f t="shared" si="377"/>
        <v>7355.9750000000004</v>
      </c>
      <c r="AU301" s="209">
        <f t="shared" si="377"/>
        <v>0</v>
      </c>
      <c r="AV301" s="203"/>
      <c r="AW301" s="251">
        <f>R301*S301</f>
        <v>7355.9750000000004</v>
      </c>
      <c r="AX301" s="251"/>
      <c r="AY301" s="661"/>
      <c r="AZ301" s="661"/>
      <c r="BA301" s="661"/>
    </row>
    <row r="302" spans="2:53" s="76" customFormat="1" ht="87.75">
      <c r="B302" s="703">
        <f t="shared" si="373"/>
        <v>208</v>
      </c>
      <c r="C302" s="197" t="s">
        <v>1096</v>
      </c>
      <c r="D302" s="198" t="s">
        <v>1369</v>
      </c>
      <c r="E302" s="703" t="s">
        <v>1145</v>
      </c>
      <c r="F302" s="703">
        <v>10</v>
      </c>
      <c r="G302" s="199">
        <v>5815</v>
      </c>
      <c r="H302" s="736"/>
      <c r="I302" s="199"/>
      <c r="J302" s="736"/>
      <c r="K302" s="199"/>
      <c r="L302" s="199"/>
      <c r="M302" s="736"/>
      <c r="N302" s="199"/>
      <c r="O302" s="737">
        <v>0.15</v>
      </c>
      <c r="P302" s="199">
        <f t="shared" ref="P302:P312" si="402">(G302+I302)*O302</f>
        <v>872.25</v>
      </c>
      <c r="Q302" s="199"/>
      <c r="R302" s="199">
        <f t="shared" ref="R302:R310" si="403">G302+I302+K302+L302+N302+P302+Q302</f>
        <v>6687.25</v>
      </c>
      <c r="S302" s="199">
        <v>1</v>
      </c>
      <c r="T302" s="206"/>
      <c r="U302" s="206"/>
      <c r="V302" s="741"/>
      <c r="W302" s="206"/>
      <c r="X302" s="718">
        <v>33</v>
      </c>
      <c r="Y302" s="737">
        <v>0.3</v>
      </c>
      <c r="Z302" s="199">
        <f t="shared" ref="Z302:Z311" si="404">R302*Y302</f>
        <v>2006.175</v>
      </c>
      <c r="AA302" s="199"/>
      <c r="AB302" s="796">
        <f>(R302+Z302)*S302+AA302</f>
        <v>8693.4249999999993</v>
      </c>
      <c r="AC302" s="738">
        <f t="shared" si="391"/>
        <v>4806.5750000000007</v>
      </c>
      <c r="AD302" s="738">
        <f t="shared" si="392"/>
        <v>13500</v>
      </c>
      <c r="AE302" s="202">
        <f>13500*S302</f>
        <v>13500</v>
      </c>
      <c r="AF302" s="202">
        <f t="shared" si="393"/>
        <v>4806.5750000000007</v>
      </c>
      <c r="AG302" s="738">
        <f>8000*S302</f>
        <v>8000</v>
      </c>
      <c r="AH302" s="202">
        <f>AG302-(R302+Z302)*S302</f>
        <v>-693.42499999999927</v>
      </c>
      <c r="AI302" s="203">
        <f t="shared" si="394"/>
        <v>5815</v>
      </c>
      <c r="AJ302" s="203">
        <f>G302*T302</f>
        <v>0</v>
      </c>
      <c r="AK302" s="203">
        <f t="shared" si="395"/>
        <v>6687.25</v>
      </c>
      <c r="AL302" s="203">
        <f>R302*T302</f>
        <v>0</v>
      </c>
      <c r="AM302" s="203">
        <f t="shared" si="396"/>
        <v>872.25</v>
      </c>
      <c r="AN302" s="203">
        <f t="shared" si="396"/>
        <v>0</v>
      </c>
      <c r="AO302" s="205">
        <f t="shared" si="397"/>
        <v>2006.175</v>
      </c>
      <c r="AP302" s="205">
        <f t="shared" si="398"/>
        <v>0</v>
      </c>
      <c r="AQ302" s="205">
        <f t="shared" si="399"/>
        <v>0</v>
      </c>
      <c r="AR302" s="205">
        <f t="shared" si="400"/>
        <v>0</v>
      </c>
      <c r="AS302" s="205">
        <f t="shared" si="401"/>
        <v>0</v>
      </c>
      <c r="AT302" s="209">
        <f t="shared" si="377"/>
        <v>6687.25</v>
      </c>
      <c r="AU302" s="209">
        <f t="shared" si="377"/>
        <v>0</v>
      </c>
      <c r="AV302" s="203"/>
      <c r="AW302" s="251">
        <f>R302*S302</f>
        <v>6687.25</v>
      </c>
      <c r="AX302" s="251"/>
      <c r="AY302" s="661"/>
      <c r="AZ302" s="661"/>
      <c r="BA302" s="661"/>
    </row>
    <row r="303" spans="2:53" s="76" customFormat="1" ht="87.75">
      <c r="B303" s="703">
        <f t="shared" si="373"/>
        <v>209</v>
      </c>
      <c r="C303" s="197" t="s">
        <v>1096</v>
      </c>
      <c r="D303" s="198" t="s">
        <v>1866</v>
      </c>
      <c r="E303" s="703" t="s">
        <v>1146</v>
      </c>
      <c r="F303" s="703">
        <v>10</v>
      </c>
      <c r="G303" s="199">
        <v>5815</v>
      </c>
      <c r="H303" s="736"/>
      <c r="I303" s="199"/>
      <c r="J303" s="736"/>
      <c r="K303" s="199"/>
      <c r="L303" s="199"/>
      <c r="M303" s="736"/>
      <c r="N303" s="199"/>
      <c r="O303" s="737">
        <v>0.15</v>
      </c>
      <c r="P303" s="199">
        <f t="shared" si="402"/>
        <v>872.25</v>
      </c>
      <c r="Q303" s="199"/>
      <c r="R303" s="199">
        <f t="shared" si="403"/>
        <v>6687.25</v>
      </c>
      <c r="S303" s="199">
        <v>1</v>
      </c>
      <c r="T303" s="199"/>
      <c r="U303" s="199"/>
      <c r="V303" s="736"/>
      <c r="W303" s="199"/>
      <c r="X303" s="718">
        <v>36</v>
      </c>
      <c r="Y303" s="737">
        <v>0.3</v>
      </c>
      <c r="Z303" s="199">
        <f t="shared" si="404"/>
        <v>2006.175</v>
      </c>
      <c r="AA303" s="199"/>
      <c r="AB303" s="796">
        <f>(R303+Z303)*S303+AA303</f>
        <v>8693.4249999999993</v>
      </c>
      <c r="AC303" s="738">
        <f t="shared" si="391"/>
        <v>4806.5750000000007</v>
      </c>
      <c r="AD303" s="738">
        <f t="shared" si="392"/>
        <v>13500</v>
      </c>
      <c r="AE303" s="202">
        <f t="shared" ref="AE303:AE312" si="405">13500*S303</f>
        <v>13500</v>
      </c>
      <c r="AF303" s="202">
        <f t="shared" si="393"/>
        <v>4806.5750000000007</v>
      </c>
      <c r="AG303" s="738">
        <f>8000*S303</f>
        <v>8000</v>
      </c>
      <c r="AH303" s="202">
        <f>AG303-(R303+Z303)*S303</f>
        <v>-693.42499999999927</v>
      </c>
      <c r="AI303" s="203">
        <f t="shared" si="394"/>
        <v>5815</v>
      </c>
      <c r="AJ303" s="203">
        <f>G303*T303</f>
        <v>0</v>
      </c>
      <c r="AK303" s="203">
        <f t="shared" si="395"/>
        <v>6687.25</v>
      </c>
      <c r="AL303" s="203">
        <f>R303*T303</f>
        <v>0</v>
      </c>
      <c r="AM303" s="203">
        <f t="shared" si="396"/>
        <v>872.25</v>
      </c>
      <c r="AN303" s="203">
        <f t="shared" si="396"/>
        <v>0</v>
      </c>
      <c r="AO303" s="205">
        <f t="shared" si="397"/>
        <v>2006.175</v>
      </c>
      <c r="AP303" s="205">
        <f t="shared" si="398"/>
        <v>0</v>
      </c>
      <c r="AQ303" s="205">
        <f t="shared" si="399"/>
        <v>0</v>
      </c>
      <c r="AR303" s="205">
        <f t="shared" si="400"/>
        <v>0</v>
      </c>
      <c r="AS303" s="205">
        <f t="shared" si="401"/>
        <v>0</v>
      </c>
      <c r="AT303" s="209">
        <f t="shared" si="377"/>
        <v>6687.25</v>
      </c>
      <c r="AU303" s="209">
        <f t="shared" si="377"/>
        <v>0</v>
      </c>
      <c r="AV303" s="203"/>
      <c r="AW303" s="251">
        <f>R303*S303</f>
        <v>6687.25</v>
      </c>
      <c r="AX303" s="251"/>
      <c r="AY303" s="661"/>
      <c r="AZ303" s="661"/>
      <c r="BA303" s="661"/>
    </row>
    <row r="304" spans="2:53" s="76" customFormat="1" ht="87.75">
      <c r="B304" s="703">
        <f t="shared" si="373"/>
        <v>210</v>
      </c>
      <c r="C304" s="197" t="s">
        <v>1096</v>
      </c>
      <c r="D304" s="198" t="s">
        <v>1806</v>
      </c>
      <c r="E304" s="703" t="s">
        <v>1097</v>
      </c>
      <c r="F304" s="703">
        <v>10</v>
      </c>
      <c r="G304" s="199">
        <v>5815</v>
      </c>
      <c r="H304" s="736"/>
      <c r="I304" s="199"/>
      <c r="J304" s="736"/>
      <c r="K304" s="199"/>
      <c r="L304" s="199"/>
      <c r="M304" s="736"/>
      <c r="N304" s="199"/>
      <c r="O304" s="737">
        <v>0.15</v>
      </c>
      <c r="P304" s="199">
        <f t="shared" si="402"/>
        <v>872.25</v>
      </c>
      <c r="Q304" s="199"/>
      <c r="R304" s="199">
        <f t="shared" si="403"/>
        <v>6687.25</v>
      </c>
      <c r="S304" s="199">
        <v>1</v>
      </c>
      <c r="T304" s="199"/>
      <c r="U304" s="199"/>
      <c r="V304" s="736"/>
      <c r="W304" s="199"/>
      <c r="X304" s="718">
        <v>29</v>
      </c>
      <c r="Y304" s="737">
        <v>0.3</v>
      </c>
      <c r="Z304" s="199">
        <f t="shared" si="404"/>
        <v>2006.175</v>
      </c>
      <c r="AA304" s="199"/>
      <c r="AB304" s="796">
        <f>(R304+Z304)*S304+AA304</f>
        <v>8693.4249999999993</v>
      </c>
      <c r="AC304" s="738">
        <f t="shared" si="391"/>
        <v>4806.5750000000007</v>
      </c>
      <c r="AD304" s="738">
        <f t="shared" si="392"/>
        <v>13500</v>
      </c>
      <c r="AE304" s="202">
        <f t="shared" si="405"/>
        <v>13500</v>
      </c>
      <c r="AF304" s="202">
        <f t="shared" si="393"/>
        <v>4806.5750000000007</v>
      </c>
      <c r="AG304" s="738">
        <f>8000*S304</f>
        <v>8000</v>
      </c>
      <c r="AH304" s="202">
        <f>AG304-(R304+Z304)*S304</f>
        <v>-693.42499999999927</v>
      </c>
      <c r="AI304" s="203">
        <f t="shared" si="394"/>
        <v>5815</v>
      </c>
      <c r="AJ304" s="203">
        <f>G304*T304</f>
        <v>0</v>
      </c>
      <c r="AK304" s="203">
        <f t="shared" si="395"/>
        <v>6687.25</v>
      </c>
      <c r="AL304" s="203">
        <f>R304*T304</f>
        <v>0</v>
      </c>
      <c r="AM304" s="203">
        <f t="shared" si="396"/>
        <v>872.25</v>
      </c>
      <c r="AN304" s="203">
        <f t="shared" si="396"/>
        <v>0</v>
      </c>
      <c r="AO304" s="205">
        <f t="shared" si="397"/>
        <v>2006.175</v>
      </c>
      <c r="AP304" s="205">
        <f t="shared" si="398"/>
        <v>0</v>
      </c>
      <c r="AQ304" s="205">
        <f t="shared" si="399"/>
        <v>0</v>
      </c>
      <c r="AR304" s="205">
        <f t="shared" si="400"/>
        <v>0</v>
      </c>
      <c r="AS304" s="205">
        <f t="shared" si="401"/>
        <v>0</v>
      </c>
      <c r="AT304" s="209">
        <f t="shared" si="377"/>
        <v>6687.25</v>
      </c>
      <c r="AU304" s="209">
        <f t="shared" si="377"/>
        <v>0</v>
      </c>
      <c r="AV304" s="203"/>
      <c r="AW304" s="251">
        <f>R304*S304</f>
        <v>6687.25</v>
      </c>
      <c r="AX304" s="251"/>
      <c r="AY304" s="661"/>
      <c r="AZ304" s="661"/>
      <c r="BA304" s="661"/>
    </row>
    <row r="305" spans="2:53" s="76" customFormat="1" ht="87.75">
      <c r="B305" s="703">
        <f t="shared" si="373"/>
        <v>211</v>
      </c>
      <c r="C305" s="197" t="s">
        <v>1096</v>
      </c>
      <c r="D305" s="198" t="s">
        <v>1806</v>
      </c>
      <c r="E305" s="703" t="s">
        <v>1147</v>
      </c>
      <c r="F305" s="703">
        <v>10</v>
      </c>
      <c r="G305" s="199">
        <v>5815</v>
      </c>
      <c r="H305" s="736"/>
      <c r="I305" s="199"/>
      <c r="J305" s="736"/>
      <c r="K305" s="199"/>
      <c r="L305" s="199"/>
      <c r="M305" s="736"/>
      <c r="N305" s="199"/>
      <c r="O305" s="737">
        <v>0.15</v>
      </c>
      <c r="P305" s="199">
        <f t="shared" si="402"/>
        <v>872.25</v>
      </c>
      <c r="Q305" s="206"/>
      <c r="R305" s="199">
        <f t="shared" si="403"/>
        <v>6687.25</v>
      </c>
      <c r="S305" s="199">
        <v>1</v>
      </c>
      <c r="T305" s="199"/>
      <c r="U305" s="206"/>
      <c r="V305" s="741"/>
      <c r="W305" s="206"/>
      <c r="X305" s="718">
        <v>35</v>
      </c>
      <c r="Y305" s="737">
        <v>0.3</v>
      </c>
      <c r="Z305" s="199">
        <f t="shared" si="404"/>
        <v>2006.175</v>
      </c>
      <c r="AA305" s="199"/>
      <c r="AB305" s="796">
        <f>(R305+Z305)*S305+AA305</f>
        <v>8693.4249999999993</v>
      </c>
      <c r="AC305" s="738">
        <f t="shared" si="391"/>
        <v>4806.5750000000007</v>
      </c>
      <c r="AD305" s="738">
        <f t="shared" si="392"/>
        <v>13500</v>
      </c>
      <c r="AE305" s="202">
        <f t="shared" si="405"/>
        <v>13500</v>
      </c>
      <c r="AF305" s="202">
        <f t="shared" si="393"/>
        <v>4806.5750000000007</v>
      </c>
      <c r="AG305" s="738">
        <f>8000*S305</f>
        <v>8000</v>
      </c>
      <c r="AH305" s="202">
        <f>AG305-(R305+Z305)*S305</f>
        <v>-693.42499999999927</v>
      </c>
      <c r="AI305" s="203">
        <f>G305*S305</f>
        <v>5815</v>
      </c>
      <c r="AJ305" s="203">
        <f>G305*T305</f>
        <v>0</v>
      </c>
      <c r="AK305" s="203">
        <f t="shared" si="395"/>
        <v>6687.25</v>
      </c>
      <c r="AL305" s="203">
        <f>R305*T305</f>
        <v>0</v>
      </c>
      <c r="AM305" s="203">
        <f t="shared" si="396"/>
        <v>872.25</v>
      </c>
      <c r="AN305" s="203">
        <f t="shared" si="396"/>
        <v>0</v>
      </c>
      <c r="AO305" s="205">
        <f t="shared" si="397"/>
        <v>2006.175</v>
      </c>
      <c r="AP305" s="205">
        <f t="shared" si="398"/>
        <v>0</v>
      </c>
      <c r="AQ305" s="205">
        <f t="shared" si="399"/>
        <v>0</v>
      </c>
      <c r="AR305" s="205">
        <f t="shared" si="400"/>
        <v>0</v>
      </c>
      <c r="AS305" s="205">
        <f t="shared" si="401"/>
        <v>0</v>
      </c>
      <c r="AT305" s="209">
        <f t="shared" si="377"/>
        <v>6687.25</v>
      </c>
      <c r="AU305" s="209">
        <f t="shared" si="377"/>
        <v>0</v>
      </c>
      <c r="AV305" s="203"/>
      <c r="AW305" s="251">
        <f>R305*S305</f>
        <v>6687.25</v>
      </c>
      <c r="AX305" s="251"/>
      <c r="AY305" s="661"/>
      <c r="AZ305" s="661"/>
      <c r="BA305" s="661"/>
    </row>
    <row r="306" spans="2:53" s="76" customFormat="1" ht="63">
      <c r="B306" s="703">
        <f t="shared" si="373"/>
        <v>212</v>
      </c>
      <c r="C306" s="197" t="s">
        <v>1064</v>
      </c>
      <c r="D306" s="198" t="s">
        <v>197</v>
      </c>
      <c r="E306" s="703" t="s">
        <v>1143</v>
      </c>
      <c r="F306" s="703">
        <v>10</v>
      </c>
      <c r="G306" s="199">
        <v>5815</v>
      </c>
      <c r="H306" s="736"/>
      <c r="I306" s="199"/>
      <c r="J306" s="736"/>
      <c r="K306" s="199"/>
      <c r="L306" s="199"/>
      <c r="M306" s="736"/>
      <c r="N306" s="199"/>
      <c r="O306" s="737">
        <v>0.15</v>
      </c>
      <c r="P306" s="199">
        <f t="shared" si="402"/>
        <v>872.25</v>
      </c>
      <c r="Q306" s="199"/>
      <c r="R306" s="199">
        <f>G306+I306+K306+L306+N306+P306+Q306</f>
        <v>6687.25</v>
      </c>
      <c r="S306" s="199"/>
      <c r="T306" s="199">
        <v>0.25</v>
      </c>
      <c r="U306" s="199"/>
      <c r="V306" s="736"/>
      <c r="W306" s="199"/>
      <c r="X306" s="718">
        <v>28</v>
      </c>
      <c r="Y306" s="737">
        <v>0.3</v>
      </c>
      <c r="Z306" s="755">
        <f>R306*Y306</f>
        <v>2006.175</v>
      </c>
      <c r="AA306" s="199"/>
      <c r="AB306" s="796">
        <f>(R306+Z306)*T306+AA306</f>
        <v>2173.3562499999998</v>
      </c>
      <c r="AC306" s="738">
        <f>AF306</f>
        <v>1201.6437500000002</v>
      </c>
      <c r="AD306" s="738">
        <f>AB306+AC306</f>
        <v>3375</v>
      </c>
      <c r="AE306" s="202">
        <f>13500*T306</f>
        <v>3375</v>
      </c>
      <c r="AF306" s="202">
        <f>AE306-AB306</f>
        <v>1201.6437500000002</v>
      </c>
      <c r="AG306" s="738">
        <f>8000*T306</f>
        <v>2000</v>
      </c>
      <c r="AH306" s="202">
        <f>AG306-(R306+Z306)*T306</f>
        <v>-173.35624999999982</v>
      </c>
      <c r="AI306" s="203">
        <f>G306*T306</f>
        <v>1453.75</v>
      </c>
      <c r="AJ306" s="203">
        <f t="shared" ref="AJ306:AJ312" si="406">G306*T306</f>
        <v>1453.75</v>
      </c>
      <c r="AK306" s="203">
        <f>R306*T306</f>
        <v>1671.8125</v>
      </c>
      <c r="AL306" s="203">
        <f t="shared" ref="AL306:AL312" si="407">R306*T306</f>
        <v>1671.8125</v>
      </c>
      <c r="AM306" s="203">
        <f>AK306-AI306</f>
        <v>218.0625</v>
      </c>
      <c r="AN306" s="203">
        <f t="shared" si="396"/>
        <v>218.0625</v>
      </c>
      <c r="AO306" s="205">
        <f>Z306*T306</f>
        <v>501.54374999999999</v>
      </c>
      <c r="AP306" s="205">
        <f>Z306*T306</f>
        <v>501.54374999999999</v>
      </c>
      <c r="AQ306" s="205">
        <f t="shared" si="399"/>
        <v>0</v>
      </c>
      <c r="AR306" s="205">
        <f>W306*T306</f>
        <v>0</v>
      </c>
      <c r="AS306" s="205">
        <f t="shared" si="401"/>
        <v>0</v>
      </c>
      <c r="AT306" s="209">
        <f t="shared" si="377"/>
        <v>1671.8125</v>
      </c>
      <c r="AU306" s="209">
        <f t="shared" si="377"/>
        <v>1671.8125</v>
      </c>
      <c r="AV306" s="203"/>
      <c r="AW306" s="251">
        <f>R306*T306</f>
        <v>1671.8125</v>
      </c>
      <c r="AX306" s="251"/>
      <c r="AY306" s="661"/>
      <c r="AZ306" s="661"/>
      <c r="BA306" s="661"/>
    </row>
    <row r="307" spans="2:53" s="76" customFormat="1" ht="63">
      <c r="B307" s="703">
        <f t="shared" si="373"/>
        <v>213</v>
      </c>
      <c r="C307" s="197" t="s">
        <v>1064</v>
      </c>
      <c r="D307" s="198" t="s">
        <v>198</v>
      </c>
      <c r="E307" s="703" t="s">
        <v>199</v>
      </c>
      <c r="F307" s="703">
        <v>9</v>
      </c>
      <c r="G307" s="199">
        <v>5527</v>
      </c>
      <c r="H307" s="736"/>
      <c r="I307" s="199"/>
      <c r="J307" s="736"/>
      <c r="K307" s="199"/>
      <c r="L307" s="199"/>
      <c r="M307" s="736"/>
      <c r="N307" s="199"/>
      <c r="O307" s="737">
        <v>0.15</v>
      </c>
      <c r="P307" s="199">
        <f t="shared" si="402"/>
        <v>829.05</v>
      </c>
      <c r="Q307" s="199"/>
      <c r="R307" s="199">
        <f>G307+I307+K307+L307+N307+P307+Q307</f>
        <v>6356.05</v>
      </c>
      <c r="S307" s="199">
        <v>1</v>
      </c>
      <c r="T307" s="199"/>
      <c r="U307" s="199"/>
      <c r="V307" s="736"/>
      <c r="W307" s="199"/>
      <c r="X307" s="718">
        <v>14</v>
      </c>
      <c r="Y307" s="737">
        <v>0.2</v>
      </c>
      <c r="Z307" s="755">
        <f>R307*Y307</f>
        <v>1271.21</v>
      </c>
      <c r="AA307" s="199">
        <f>AH307</f>
        <v>372.73999999999978</v>
      </c>
      <c r="AB307" s="796">
        <f>(R307+Z307)*S307+AA307</f>
        <v>8000</v>
      </c>
      <c r="AC307" s="738">
        <f>AF307</f>
        <v>5500</v>
      </c>
      <c r="AD307" s="738">
        <f>AB307+AC307</f>
        <v>13500</v>
      </c>
      <c r="AE307" s="202">
        <f>13500*S307</f>
        <v>13500</v>
      </c>
      <c r="AF307" s="202">
        <f>AE307-AB307</f>
        <v>5500</v>
      </c>
      <c r="AG307" s="738">
        <f>8000*S307</f>
        <v>8000</v>
      </c>
      <c r="AH307" s="202">
        <f>AG307-(R307+Z307)*S307</f>
        <v>372.73999999999978</v>
      </c>
      <c r="AI307" s="203">
        <f>G307*S307</f>
        <v>5527</v>
      </c>
      <c r="AJ307" s="203">
        <f t="shared" si="406"/>
        <v>0</v>
      </c>
      <c r="AK307" s="203">
        <f>R307*S307</f>
        <v>6356.05</v>
      </c>
      <c r="AL307" s="203">
        <f t="shared" si="407"/>
        <v>0</v>
      </c>
      <c r="AM307" s="203">
        <f>AK307-AI307</f>
        <v>829.05000000000018</v>
      </c>
      <c r="AN307" s="203">
        <f t="shared" si="396"/>
        <v>0</v>
      </c>
      <c r="AO307" s="205">
        <f>Z307*S307</f>
        <v>1271.21</v>
      </c>
      <c r="AP307" s="205">
        <f>Z307*S307</f>
        <v>1271.21</v>
      </c>
      <c r="AQ307" s="205">
        <f>AA307</f>
        <v>372.73999999999978</v>
      </c>
      <c r="AR307" s="205">
        <f>W307*S307</f>
        <v>0</v>
      </c>
      <c r="AS307" s="205">
        <f>W307*T307</f>
        <v>0</v>
      </c>
      <c r="AT307" s="209">
        <f>AK307</f>
        <v>6356.05</v>
      </c>
      <c r="AU307" s="209">
        <f>AL307</f>
        <v>0</v>
      </c>
      <c r="AV307" s="203"/>
      <c r="AW307" s="251">
        <f>R307*S307</f>
        <v>6356.05</v>
      </c>
      <c r="AX307" s="251"/>
      <c r="AY307" s="661"/>
      <c r="AZ307" s="661"/>
      <c r="BA307" s="661"/>
    </row>
    <row r="308" spans="2:53" s="76" customFormat="1" ht="63">
      <c r="B308" s="703">
        <f t="shared" si="373"/>
        <v>214</v>
      </c>
      <c r="C308" s="197" t="s">
        <v>1064</v>
      </c>
      <c r="D308" s="198" t="s">
        <v>200</v>
      </c>
      <c r="E308" s="703" t="s">
        <v>1111</v>
      </c>
      <c r="F308" s="703">
        <v>10</v>
      </c>
      <c r="G308" s="199">
        <v>5815</v>
      </c>
      <c r="H308" s="736"/>
      <c r="I308" s="199"/>
      <c r="J308" s="736"/>
      <c r="K308" s="199"/>
      <c r="L308" s="199"/>
      <c r="M308" s="736"/>
      <c r="N308" s="199"/>
      <c r="O308" s="737">
        <v>0.15</v>
      </c>
      <c r="P308" s="199">
        <f t="shared" si="402"/>
        <v>872.25</v>
      </c>
      <c r="Q308" s="199"/>
      <c r="R308" s="199">
        <f>G308+I308+K308+L308+N308+P308+Q308</f>
        <v>6687.25</v>
      </c>
      <c r="S308" s="199"/>
      <c r="T308" s="199">
        <v>0.25</v>
      </c>
      <c r="U308" s="199"/>
      <c r="V308" s="736"/>
      <c r="W308" s="199"/>
      <c r="X308" s="718">
        <v>29</v>
      </c>
      <c r="Y308" s="737">
        <v>0.3</v>
      </c>
      <c r="Z308" s="755">
        <f>R308*Y308</f>
        <v>2006.175</v>
      </c>
      <c r="AA308" s="199"/>
      <c r="AB308" s="796">
        <f>(R308+Z308)*T308+AA308</f>
        <v>2173.3562499999998</v>
      </c>
      <c r="AC308" s="738">
        <f>AF308</f>
        <v>1201.6437500000002</v>
      </c>
      <c r="AD308" s="738">
        <f t="shared" si="392"/>
        <v>3375</v>
      </c>
      <c r="AE308" s="202">
        <f>13500*T308</f>
        <v>3375</v>
      </c>
      <c r="AF308" s="202">
        <f>AE308-AB308</f>
        <v>1201.6437500000002</v>
      </c>
      <c r="AG308" s="738">
        <f>8000*T308</f>
        <v>2000</v>
      </c>
      <c r="AH308" s="202">
        <f>AG308-(R308+Z308)*T308</f>
        <v>-173.35624999999982</v>
      </c>
      <c r="AI308" s="203">
        <f>G308*T308</f>
        <v>1453.75</v>
      </c>
      <c r="AJ308" s="203">
        <f t="shared" si="406"/>
        <v>1453.75</v>
      </c>
      <c r="AK308" s="203">
        <f>R308*T308</f>
        <v>1671.8125</v>
      </c>
      <c r="AL308" s="203">
        <f t="shared" si="407"/>
        <v>1671.8125</v>
      </c>
      <c r="AM308" s="203">
        <f>AK308-AI308</f>
        <v>218.0625</v>
      </c>
      <c r="AN308" s="203">
        <f t="shared" si="396"/>
        <v>218.0625</v>
      </c>
      <c r="AO308" s="205">
        <f>Z308*T308</f>
        <v>501.54374999999999</v>
      </c>
      <c r="AP308" s="205">
        <f>Z308*T308</f>
        <v>501.54374999999999</v>
      </c>
      <c r="AQ308" s="205">
        <f>AA308</f>
        <v>0</v>
      </c>
      <c r="AR308" s="205">
        <f>W308*T308</f>
        <v>0</v>
      </c>
      <c r="AS308" s="205">
        <f>W308*T308</f>
        <v>0</v>
      </c>
      <c r="AT308" s="209">
        <f>AK308</f>
        <v>1671.8125</v>
      </c>
      <c r="AU308" s="209">
        <f>AL308</f>
        <v>1671.8125</v>
      </c>
      <c r="AV308" s="203"/>
      <c r="AW308" s="251">
        <f>R308*T308</f>
        <v>1671.8125</v>
      </c>
      <c r="AX308" s="251"/>
      <c r="AY308" s="661"/>
      <c r="AZ308" s="661"/>
      <c r="BA308" s="661"/>
    </row>
    <row r="309" spans="2:53" s="76" customFormat="1" ht="63">
      <c r="B309" s="703">
        <f>1+B308</f>
        <v>215</v>
      </c>
      <c r="C309" s="197" t="s">
        <v>1064</v>
      </c>
      <c r="D309" s="198" t="s">
        <v>1104</v>
      </c>
      <c r="E309" s="703" t="s">
        <v>1144</v>
      </c>
      <c r="F309" s="703">
        <v>10</v>
      </c>
      <c r="G309" s="199">
        <v>5815</v>
      </c>
      <c r="H309" s="736"/>
      <c r="I309" s="199"/>
      <c r="J309" s="736"/>
      <c r="K309" s="199"/>
      <c r="L309" s="199"/>
      <c r="M309" s="736"/>
      <c r="N309" s="199"/>
      <c r="O309" s="737">
        <v>0.15</v>
      </c>
      <c r="P309" s="199">
        <f t="shared" si="402"/>
        <v>872.25</v>
      </c>
      <c r="Q309" s="206"/>
      <c r="R309" s="199">
        <f>G309+I309+K309+L309+N309+P309+Q309</f>
        <v>6687.25</v>
      </c>
      <c r="S309" s="199"/>
      <c r="T309" s="199">
        <v>0.5</v>
      </c>
      <c r="U309" s="206"/>
      <c r="V309" s="741"/>
      <c r="W309" s="206"/>
      <c r="X309" s="718">
        <v>26</v>
      </c>
      <c r="Y309" s="737">
        <v>0.3</v>
      </c>
      <c r="Z309" s="199">
        <f>R309*Y309</f>
        <v>2006.175</v>
      </c>
      <c r="AA309" s="199"/>
      <c r="AB309" s="796">
        <f>(R309+Z309)*T309+AA309</f>
        <v>4346.7124999999996</v>
      </c>
      <c r="AC309" s="738">
        <f>AF309</f>
        <v>2403.2875000000004</v>
      </c>
      <c r="AD309" s="738">
        <f>AB309+AC309</f>
        <v>6750</v>
      </c>
      <c r="AE309" s="202">
        <f>13500*T309</f>
        <v>6750</v>
      </c>
      <c r="AF309" s="202">
        <f t="shared" si="393"/>
        <v>2403.2875000000004</v>
      </c>
      <c r="AG309" s="738">
        <f>8000*T309</f>
        <v>4000</v>
      </c>
      <c r="AH309" s="202">
        <f>AG309-(R309+Z309)*T309</f>
        <v>-346.71249999999964</v>
      </c>
      <c r="AI309" s="203">
        <f>G309*T309</f>
        <v>2907.5</v>
      </c>
      <c r="AJ309" s="203">
        <f t="shared" si="406"/>
        <v>2907.5</v>
      </c>
      <c r="AK309" s="203">
        <f>R309*T309</f>
        <v>3343.625</v>
      </c>
      <c r="AL309" s="203">
        <f t="shared" si="407"/>
        <v>3343.625</v>
      </c>
      <c r="AM309" s="203">
        <f t="shared" si="396"/>
        <v>436.125</v>
      </c>
      <c r="AN309" s="203">
        <f t="shared" si="396"/>
        <v>436.125</v>
      </c>
      <c r="AO309" s="205">
        <f t="shared" si="397"/>
        <v>0</v>
      </c>
      <c r="AP309" s="205">
        <f t="shared" si="398"/>
        <v>1003.0875</v>
      </c>
      <c r="AQ309" s="205">
        <f t="shared" si="399"/>
        <v>0</v>
      </c>
      <c r="AR309" s="205">
        <f t="shared" si="400"/>
        <v>0</v>
      </c>
      <c r="AS309" s="205">
        <f t="shared" si="401"/>
        <v>0</v>
      </c>
      <c r="AT309" s="209">
        <f t="shared" si="377"/>
        <v>3343.625</v>
      </c>
      <c r="AU309" s="209">
        <f t="shared" si="377"/>
        <v>3343.625</v>
      </c>
      <c r="AV309" s="203"/>
      <c r="AW309" s="251">
        <f>R309*T309</f>
        <v>3343.625</v>
      </c>
      <c r="AX309" s="251"/>
      <c r="AY309" s="78"/>
    </row>
    <row r="310" spans="2:53" s="76" customFormat="1" ht="63">
      <c r="B310" s="703">
        <f t="shared" si="373"/>
        <v>216</v>
      </c>
      <c r="C310" s="197" t="s">
        <v>1064</v>
      </c>
      <c r="D310" s="198" t="s">
        <v>1071</v>
      </c>
      <c r="E310" s="703" t="s">
        <v>1143</v>
      </c>
      <c r="F310" s="703">
        <v>10</v>
      </c>
      <c r="G310" s="199">
        <v>5815</v>
      </c>
      <c r="H310" s="736"/>
      <c r="I310" s="199"/>
      <c r="J310" s="736"/>
      <c r="K310" s="199"/>
      <c r="L310" s="199"/>
      <c r="M310" s="736"/>
      <c r="N310" s="199"/>
      <c r="O310" s="737">
        <v>0.15</v>
      </c>
      <c r="P310" s="199">
        <f t="shared" si="402"/>
        <v>872.25</v>
      </c>
      <c r="Q310" s="199"/>
      <c r="R310" s="199">
        <f t="shared" si="403"/>
        <v>6687.25</v>
      </c>
      <c r="S310" s="199">
        <v>1</v>
      </c>
      <c r="T310" s="199"/>
      <c r="U310" s="199"/>
      <c r="V310" s="736"/>
      <c r="W310" s="199"/>
      <c r="X310" s="718">
        <v>28</v>
      </c>
      <c r="Y310" s="737">
        <v>0.3</v>
      </c>
      <c r="Z310" s="199">
        <f>R310*Y310</f>
        <v>2006.175</v>
      </c>
      <c r="AA310" s="199"/>
      <c r="AB310" s="796">
        <f>(R310+Z310)*S310+AA310</f>
        <v>8693.4249999999993</v>
      </c>
      <c r="AC310" s="738">
        <f t="shared" si="391"/>
        <v>4806.5750000000007</v>
      </c>
      <c r="AD310" s="738">
        <f t="shared" si="392"/>
        <v>13500</v>
      </c>
      <c r="AE310" s="202">
        <f t="shared" si="405"/>
        <v>13500</v>
      </c>
      <c r="AF310" s="202">
        <f t="shared" si="393"/>
        <v>4806.5750000000007</v>
      </c>
      <c r="AG310" s="738">
        <f>8000*S310</f>
        <v>8000</v>
      </c>
      <c r="AH310" s="202">
        <f>AG310-(R310+Z310)*S310</f>
        <v>-693.42499999999927</v>
      </c>
      <c r="AI310" s="203">
        <f t="shared" si="394"/>
        <v>5815</v>
      </c>
      <c r="AJ310" s="203">
        <f t="shared" si="406"/>
        <v>0</v>
      </c>
      <c r="AK310" s="203">
        <f t="shared" si="395"/>
        <v>6687.25</v>
      </c>
      <c r="AL310" s="203">
        <f t="shared" si="407"/>
        <v>0</v>
      </c>
      <c r="AM310" s="203">
        <f t="shared" si="396"/>
        <v>872.25</v>
      </c>
      <c r="AN310" s="203">
        <f t="shared" si="396"/>
        <v>0</v>
      </c>
      <c r="AO310" s="205">
        <f t="shared" si="397"/>
        <v>2006.175</v>
      </c>
      <c r="AP310" s="205">
        <f t="shared" si="398"/>
        <v>0</v>
      </c>
      <c r="AQ310" s="205">
        <f t="shared" si="399"/>
        <v>0</v>
      </c>
      <c r="AR310" s="205">
        <f t="shared" si="400"/>
        <v>0</v>
      </c>
      <c r="AS310" s="205">
        <f t="shared" si="401"/>
        <v>0</v>
      </c>
      <c r="AT310" s="209">
        <f>AK310</f>
        <v>6687.25</v>
      </c>
      <c r="AU310" s="209">
        <f>AL310</f>
        <v>0</v>
      </c>
      <c r="AV310" s="203"/>
      <c r="AW310" s="251">
        <f>R310*S310</f>
        <v>6687.25</v>
      </c>
      <c r="AX310" s="251"/>
      <c r="AY310" s="78"/>
    </row>
    <row r="311" spans="2:53" s="76" customFormat="1" ht="63">
      <c r="B311" s="703">
        <f t="shared" si="373"/>
        <v>217</v>
      </c>
      <c r="C311" s="197" t="s">
        <v>1064</v>
      </c>
      <c r="D311" s="198" t="s">
        <v>1807</v>
      </c>
      <c r="E311" s="703" t="s">
        <v>1121</v>
      </c>
      <c r="F311" s="703">
        <v>9</v>
      </c>
      <c r="G311" s="199">
        <v>5527</v>
      </c>
      <c r="H311" s="736"/>
      <c r="I311" s="199"/>
      <c r="J311" s="736"/>
      <c r="K311" s="199"/>
      <c r="L311" s="199"/>
      <c r="M311" s="736"/>
      <c r="N311" s="199"/>
      <c r="O311" s="737">
        <v>0.15</v>
      </c>
      <c r="P311" s="199">
        <f t="shared" si="402"/>
        <v>829.05</v>
      </c>
      <c r="Q311" s="199"/>
      <c r="R311" s="199">
        <f>G311+I311+K311+L311+N311+P311+Q311</f>
        <v>6356.05</v>
      </c>
      <c r="S311" s="199">
        <v>1</v>
      </c>
      <c r="T311" s="199"/>
      <c r="U311" s="199"/>
      <c r="V311" s="736"/>
      <c r="W311" s="199"/>
      <c r="X311" s="718">
        <v>13</v>
      </c>
      <c r="Y311" s="737">
        <v>0.2</v>
      </c>
      <c r="Z311" s="199">
        <f t="shared" si="404"/>
        <v>1271.21</v>
      </c>
      <c r="AA311" s="199">
        <f>AH311</f>
        <v>372.73999999999978</v>
      </c>
      <c r="AB311" s="796">
        <f>(R311+Z311)*S311+AA311</f>
        <v>8000</v>
      </c>
      <c r="AC311" s="738">
        <f t="shared" si="391"/>
        <v>5500</v>
      </c>
      <c r="AD311" s="738">
        <f t="shared" si="392"/>
        <v>13500</v>
      </c>
      <c r="AE311" s="202">
        <f t="shared" si="405"/>
        <v>13500</v>
      </c>
      <c r="AF311" s="202">
        <f t="shared" si="393"/>
        <v>5500</v>
      </c>
      <c r="AG311" s="738">
        <f>8000*S311</f>
        <v>8000</v>
      </c>
      <c r="AH311" s="202">
        <f>AG311-(R311+Z311)*S311</f>
        <v>372.73999999999978</v>
      </c>
      <c r="AI311" s="203">
        <f t="shared" si="394"/>
        <v>5527</v>
      </c>
      <c r="AJ311" s="203">
        <f t="shared" si="406"/>
        <v>0</v>
      </c>
      <c r="AK311" s="203">
        <f t="shared" si="395"/>
        <v>6356.05</v>
      </c>
      <c r="AL311" s="203">
        <f t="shared" si="407"/>
        <v>0</v>
      </c>
      <c r="AM311" s="203">
        <f t="shared" si="396"/>
        <v>829.05000000000018</v>
      </c>
      <c r="AN311" s="203">
        <f t="shared" si="396"/>
        <v>0</v>
      </c>
      <c r="AO311" s="205">
        <f t="shared" si="397"/>
        <v>1271.21</v>
      </c>
      <c r="AP311" s="205">
        <f t="shared" si="398"/>
        <v>0</v>
      </c>
      <c r="AQ311" s="205">
        <f t="shared" si="399"/>
        <v>372.73999999999978</v>
      </c>
      <c r="AR311" s="205">
        <f t="shared" si="400"/>
        <v>0</v>
      </c>
      <c r="AS311" s="205">
        <f t="shared" si="401"/>
        <v>0</v>
      </c>
      <c r="AT311" s="209">
        <f t="shared" si="377"/>
        <v>6356.05</v>
      </c>
      <c r="AU311" s="209">
        <f t="shared" si="377"/>
        <v>0</v>
      </c>
      <c r="AV311" s="203"/>
      <c r="AW311" s="251">
        <f>R311*S311</f>
        <v>6356.05</v>
      </c>
      <c r="AX311" s="251"/>
      <c r="AY311" s="79"/>
    </row>
    <row r="312" spans="2:53" s="76" customFormat="1" ht="87.75">
      <c r="B312" s="703">
        <f t="shared" si="373"/>
        <v>218</v>
      </c>
      <c r="C312" s="197" t="s">
        <v>1064</v>
      </c>
      <c r="D312" s="198" t="s">
        <v>188</v>
      </c>
      <c r="E312" s="703" t="s">
        <v>1111</v>
      </c>
      <c r="F312" s="703">
        <v>10</v>
      </c>
      <c r="G312" s="199">
        <v>5815</v>
      </c>
      <c r="H312" s="736"/>
      <c r="I312" s="199"/>
      <c r="J312" s="736"/>
      <c r="K312" s="199"/>
      <c r="L312" s="199"/>
      <c r="M312" s="736"/>
      <c r="N312" s="199"/>
      <c r="O312" s="737">
        <v>0.15</v>
      </c>
      <c r="P312" s="199">
        <f t="shared" si="402"/>
        <v>872.25</v>
      </c>
      <c r="Q312" s="199"/>
      <c r="R312" s="199">
        <f>G312+I312+K312+L312+N312+P312+Q312</f>
        <v>6687.25</v>
      </c>
      <c r="S312" s="199">
        <v>1</v>
      </c>
      <c r="T312" s="199"/>
      <c r="U312" s="199"/>
      <c r="V312" s="736"/>
      <c r="W312" s="199"/>
      <c r="X312" s="718">
        <v>29</v>
      </c>
      <c r="Y312" s="737">
        <v>0.3</v>
      </c>
      <c r="Z312" s="199">
        <f>R312*Y312</f>
        <v>2006.175</v>
      </c>
      <c r="AA312" s="199"/>
      <c r="AB312" s="796">
        <f>(R312+Z312)*S312+AA312</f>
        <v>8693.4249999999993</v>
      </c>
      <c r="AC312" s="738">
        <f t="shared" si="391"/>
        <v>4806.5750000000007</v>
      </c>
      <c r="AD312" s="738">
        <f t="shared" si="392"/>
        <v>13500</v>
      </c>
      <c r="AE312" s="202">
        <f t="shared" si="405"/>
        <v>13500</v>
      </c>
      <c r="AF312" s="202">
        <f t="shared" si="393"/>
        <v>4806.5750000000007</v>
      </c>
      <c r="AG312" s="738">
        <f>8000*S312</f>
        <v>8000</v>
      </c>
      <c r="AH312" s="202">
        <f>AG312-(R312+Z312)*S312</f>
        <v>-693.42499999999927</v>
      </c>
      <c r="AI312" s="203">
        <f t="shared" si="394"/>
        <v>5815</v>
      </c>
      <c r="AJ312" s="203">
        <f t="shared" si="406"/>
        <v>0</v>
      </c>
      <c r="AK312" s="203">
        <f t="shared" si="395"/>
        <v>6687.25</v>
      </c>
      <c r="AL312" s="203">
        <f t="shared" si="407"/>
        <v>0</v>
      </c>
      <c r="AM312" s="203">
        <f t="shared" si="396"/>
        <v>872.25</v>
      </c>
      <c r="AN312" s="203">
        <f t="shared" si="396"/>
        <v>0</v>
      </c>
      <c r="AO312" s="205">
        <f t="shared" si="397"/>
        <v>2006.175</v>
      </c>
      <c r="AP312" s="205">
        <f t="shared" si="398"/>
        <v>0</v>
      </c>
      <c r="AQ312" s="205">
        <f t="shared" si="399"/>
        <v>0</v>
      </c>
      <c r="AR312" s="205">
        <f>W312*S312</f>
        <v>0</v>
      </c>
      <c r="AS312" s="205">
        <f>W312*T312</f>
        <v>0</v>
      </c>
      <c r="AT312" s="209">
        <f t="shared" si="377"/>
        <v>6687.25</v>
      </c>
      <c r="AU312" s="209">
        <f t="shared" si="377"/>
        <v>0</v>
      </c>
      <c r="AV312" s="203"/>
      <c r="AW312" s="251">
        <f>R312*S312</f>
        <v>6687.25</v>
      </c>
      <c r="AX312" s="251"/>
    </row>
    <row r="313" spans="2:53" s="76" customFormat="1" ht="31.5">
      <c r="B313" s="703"/>
      <c r="C313" s="180" t="s">
        <v>1736</v>
      </c>
      <c r="D313" s="207"/>
      <c r="E313" s="193"/>
      <c r="F313" s="193"/>
      <c r="G313" s="183">
        <f>SUM(G301:G312)</f>
        <v>69204</v>
      </c>
      <c r="H313" s="731"/>
      <c r="I313" s="193"/>
      <c r="J313" s="731"/>
      <c r="K313" s="193"/>
      <c r="L313" s="193"/>
      <c r="M313" s="731"/>
      <c r="N313" s="193"/>
      <c r="O313" s="731"/>
      <c r="P313" s="183">
        <f>SUM(P301:P312)</f>
        <v>10467.825000000001</v>
      </c>
      <c r="Q313" s="193"/>
      <c r="R313" s="183">
        <f>SUM(R301:R312)</f>
        <v>80253.324999999997</v>
      </c>
      <c r="S313" s="183">
        <f>SUM(S301:S312)</f>
        <v>9</v>
      </c>
      <c r="T313" s="183">
        <f>SUM(T301:T312)</f>
        <v>1</v>
      </c>
      <c r="U313" s="183"/>
      <c r="V313" s="742"/>
      <c r="W313" s="183"/>
      <c r="X313" s="742"/>
      <c r="Y313" s="742"/>
      <c r="Z313" s="183">
        <f>SUM(Z301:Z312)</f>
        <v>22804.787499999995</v>
      </c>
      <c r="AA313" s="183">
        <f>SUM(AA302:AA312)</f>
        <v>745.47999999999956</v>
      </c>
      <c r="AB313" s="797">
        <f t="shared" ref="AB313:AV313" si="408">SUM(AB301:AB312)</f>
        <v>86416.742499999993</v>
      </c>
      <c r="AC313" s="183">
        <f>SUM(AC301:AC312)</f>
        <v>48583.257500000007</v>
      </c>
      <c r="AD313" s="183">
        <f>SUM(AD301:AD312)</f>
        <v>135000</v>
      </c>
      <c r="AE313" s="183">
        <f t="shared" si="408"/>
        <v>135000</v>
      </c>
      <c r="AF313" s="183">
        <f t="shared" si="408"/>
        <v>48583.257500000007</v>
      </c>
      <c r="AG313" s="183">
        <f t="shared" si="408"/>
        <v>80000</v>
      </c>
      <c r="AH313" s="183">
        <f t="shared" si="408"/>
        <v>-5671.2624999999953</v>
      </c>
      <c r="AI313" s="183">
        <f t="shared" si="408"/>
        <v>57574</v>
      </c>
      <c r="AJ313" s="183">
        <f t="shared" si="408"/>
        <v>5815</v>
      </c>
      <c r="AK313" s="183">
        <f t="shared" si="408"/>
        <v>66878.825000000012</v>
      </c>
      <c r="AL313" s="183">
        <f t="shared" si="408"/>
        <v>6687.25</v>
      </c>
      <c r="AM313" s="183">
        <f t="shared" si="408"/>
        <v>9304.8250000000007</v>
      </c>
      <c r="AN313" s="183">
        <f t="shared" si="408"/>
        <v>872.25</v>
      </c>
      <c r="AO313" s="183">
        <f t="shared" si="408"/>
        <v>17789.349999999999</v>
      </c>
      <c r="AP313" s="183">
        <f t="shared" si="408"/>
        <v>3277.3850000000002</v>
      </c>
      <c r="AQ313" s="183">
        <f t="shared" si="408"/>
        <v>745.47999999999956</v>
      </c>
      <c r="AR313" s="183">
        <f t="shared" si="408"/>
        <v>0</v>
      </c>
      <c r="AS313" s="183">
        <f t="shared" si="408"/>
        <v>0</v>
      </c>
      <c r="AT313" s="183">
        <f t="shared" si="408"/>
        <v>66878.825000000012</v>
      </c>
      <c r="AU313" s="183">
        <f t="shared" si="408"/>
        <v>6687.25</v>
      </c>
      <c r="AV313" s="183">
        <f t="shared" si="408"/>
        <v>0</v>
      </c>
      <c r="AW313" s="183">
        <f>SUM(AW301:AW312)</f>
        <v>66878.825000000012</v>
      </c>
      <c r="AX313" s="183">
        <f>SUM(AX301:AX312)</f>
        <v>0</v>
      </c>
    </row>
    <row r="314" spans="2:53" s="76" customFormat="1" ht="33">
      <c r="B314" s="703"/>
      <c r="C314" s="220" t="s">
        <v>1874</v>
      </c>
      <c r="D314" s="207"/>
      <c r="E314" s="193"/>
      <c r="F314" s="193"/>
      <c r="G314" s="183"/>
      <c r="H314" s="752"/>
      <c r="I314" s="183"/>
      <c r="J314" s="731"/>
      <c r="K314" s="193"/>
      <c r="L314" s="193"/>
      <c r="M314" s="731"/>
      <c r="N314" s="193"/>
      <c r="O314" s="731"/>
      <c r="P314" s="193"/>
      <c r="Q314" s="193"/>
      <c r="R314" s="183"/>
      <c r="S314" s="183"/>
      <c r="T314" s="183"/>
      <c r="U314" s="183"/>
      <c r="V314" s="742"/>
      <c r="W314" s="183"/>
      <c r="X314" s="742"/>
      <c r="Y314" s="742"/>
      <c r="Z314" s="183"/>
      <c r="AA314" s="183"/>
      <c r="AB314" s="797"/>
      <c r="AC314" s="208"/>
      <c r="AD314" s="208"/>
      <c r="AE314" s="208"/>
      <c r="AF314" s="208"/>
      <c r="AG314" s="208"/>
      <c r="AH314" s="208"/>
      <c r="AI314" s="203"/>
      <c r="AJ314" s="203"/>
      <c r="AK314" s="203"/>
      <c r="AL314" s="203"/>
      <c r="AM314" s="203"/>
      <c r="AN314" s="203"/>
      <c r="AO314" s="205"/>
      <c r="AP314" s="205"/>
      <c r="AQ314" s="205"/>
      <c r="AR314" s="205"/>
      <c r="AS314" s="205"/>
      <c r="AT314" s="209"/>
      <c r="AU314" s="209"/>
      <c r="AV314" s="203"/>
      <c r="AW314" s="251"/>
      <c r="AX314" s="251"/>
    </row>
    <row r="315" spans="2:53" s="76" customFormat="1" ht="63">
      <c r="B315" s="703">
        <f>B312+1</f>
        <v>219</v>
      </c>
      <c r="C315" s="224" t="s">
        <v>1818</v>
      </c>
      <c r="D315" s="198"/>
      <c r="E315" s="703" t="s">
        <v>1209</v>
      </c>
      <c r="F315" s="703">
        <v>3</v>
      </c>
      <c r="G315" s="199">
        <v>3770</v>
      </c>
      <c r="H315" s="736"/>
      <c r="I315" s="199"/>
      <c r="J315" s="736"/>
      <c r="K315" s="199"/>
      <c r="L315" s="199"/>
      <c r="M315" s="736"/>
      <c r="N315" s="199"/>
      <c r="O315" s="737">
        <v>0.15</v>
      </c>
      <c r="P315" s="204">
        <f>G315*O315</f>
        <v>565.5</v>
      </c>
      <c r="Q315" s="199"/>
      <c r="R315" s="199">
        <f>G315+I315+K315+L315+N315+P315+Q315</f>
        <v>4335.5</v>
      </c>
      <c r="S315" s="199">
        <v>1</v>
      </c>
      <c r="T315" s="206"/>
      <c r="U315" s="206"/>
      <c r="V315" s="737">
        <v>0.1</v>
      </c>
      <c r="W315" s="199">
        <f>R315*V315</f>
        <v>433.55</v>
      </c>
      <c r="X315" s="718"/>
      <c r="Y315" s="737"/>
      <c r="Z315" s="199"/>
      <c r="AA315" s="199">
        <f>AH315</f>
        <v>3664.5</v>
      </c>
      <c r="AB315" s="796">
        <f>(R315+Z315+U315+W315)*S315+AA315</f>
        <v>8433.5499999999993</v>
      </c>
      <c r="AC315" s="738">
        <f>AF315</f>
        <v>0</v>
      </c>
      <c r="AD315" s="738">
        <f>AB315+AC315</f>
        <v>8433.5499999999993</v>
      </c>
      <c r="AE315" s="202">
        <f>AB315</f>
        <v>8433.5499999999993</v>
      </c>
      <c r="AF315" s="202">
        <f>AE315-AB315</f>
        <v>0</v>
      </c>
      <c r="AG315" s="738">
        <f>8000*S315</f>
        <v>8000</v>
      </c>
      <c r="AH315" s="202">
        <f>AG315-(R315*S315)</f>
        <v>3664.5</v>
      </c>
      <c r="AI315" s="203">
        <f>G315*S315</f>
        <v>3770</v>
      </c>
      <c r="AJ315" s="203">
        <f>G315*T315</f>
        <v>0</v>
      </c>
      <c r="AK315" s="203">
        <f>R315*S315</f>
        <v>4335.5</v>
      </c>
      <c r="AL315" s="203">
        <f>R315*T315</f>
        <v>0</v>
      </c>
      <c r="AM315" s="203">
        <f t="shared" ref="AM315:AN319" si="409">AK315-AI315</f>
        <v>565.5</v>
      </c>
      <c r="AN315" s="203">
        <f t="shared" si="409"/>
        <v>0</v>
      </c>
      <c r="AO315" s="205">
        <f>Z315*S315</f>
        <v>0</v>
      </c>
      <c r="AP315" s="205">
        <f>Z315*T315</f>
        <v>0</v>
      </c>
      <c r="AQ315" s="205">
        <f>AA315</f>
        <v>3664.5</v>
      </c>
      <c r="AR315" s="205">
        <f>W315*S315</f>
        <v>433.55</v>
      </c>
      <c r="AS315" s="205">
        <f>W315*T315</f>
        <v>0</v>
      </c>
      <c r="AT315" s="209">
        <f t="shared" si="377"/>
        <v>4335.5</v>
      </c>
      <c r="AU315" s="209">
        <f>AL315</f>
        <v>0</v>
      </c>
      <c r="AV315" s="203"/>
      <c r="AW315" s="251">
        <f>R315*S315</f>
        <v>4335.5</v>
      </c>
      <c r="AX315" s="251"/>
    </row>
    <row r="316" spans="2:53" s="76" customFormat="1" ht="63">
      <c r="B316" s="703">
        <f t="shared" si="373"/>
        <v>220</v>
      </c>
      <c r="C316" s="224" t="s">
        <v>1818</v>
      </c>
      <c r="D316" s="198"/>
      <c r="E316" s="703" t="s">
        <v>1210</v>
      </c>
      <c r="F316" s="703">
        <v>3</v>
      </c>
      <c r="G316" s="199">
        <v>3770</v>
      </c>
      <c r="H316" s="736"/>
      <c r="I316" s="199"/>
      <c r="J316" s="736"/>
      <c r="K316" s="199"/>
      <c r="L316" s="199"/>
      <c r="M316" s="736"/>
      <c r="N316" s="199"/>
      <c r="O316" s="737">
        <v>0.15</v>
      </c>
      <c r="P316" s="204">
        <f>G316*O316</f>
        <v>565.5</v>
      </c>
      <c r="Q316" s="199"/>
      <c r="R316" s="199">
        <f>G316+I316+K316+L316+N316+P316+Q316</f>
        <v>4335.5</v>
      </c>
      <c r="S316" s="199">
        <v>1</v>
      </c>
      <c r="T316" s="199"/>
      <c r="U316" s="199"/>
      <c r="V316" s="737">
        <v>0.1</v>
      </c>
      <c r="W316" s="199">
        <f>R316*V316</f>
        <v>433.55</v>
      </c>
      <c r="X316" s="718"/>
      <c r="Y316" s="737"/>
      <c r="Z316" s="199"/>
      <c r="AA316" s="199">
        <f>AH316</f>
        <v>3664.5</v>
      </c>
      <c r="AB316" s="796">
        <f>(R316+Z316+U316+W316)*S316+AA316</f>
        <v>8433.5499999999993</v>
      </c>
      <c r="AC316" s="738">
        <f>AF316</f>
        <v>0</v>
      </c>
      <c r="AD316" s="738">
        <f>AB316+AC316</f>
        <v>8433.5499999999993</v>
      </c>
      <c r="AE316" s="202">
        <f>AB316</f>
        <v>8433.5499999999993</v>
      </c>
      <c r="AF316" s="202">
        <f>AE316-AB316</f>
        <v>0</v>
      </c>
      <c r="AG316" s="738">
        <f>8000*S316</f>
        <v>8000</v>
      </c>
      <c r="AH316" s="202">
        <f>AG316-(R316*S316)</f>
        <v>3664.5</v>
      </c>
      <c r="AI316" s="203">
        <f>G316*S316</f>
        <v>3770</v>
      </c>
      <c r="AJ316" s="203">
        <f>G316*T316</f>
        <v>0</v>
      </c>
      <c r="AK316" s="203">
        <f>R316*S316</f>
        <v>4335.5</v>
      </c>
      <c r="AL316" s="203">
        <f>R316*T316</f>
        <v>0</v>
      </c>
      <c r="AM316" s="203">
        <f t="shared" si="409"/>
        <v>565.5</v>
      </c>
      <c r="AN316" s="203">
        <f t="shared" si="409"/>
        <v>0</v>
      </c>
      <c r="AO316" s="205">
        <f>Z316*S316</f>
        <v>0</v>
      </c>
      <c r="AP316" s="205">
        <f>Z316*T316</f>
        <v>0</v>
      </c>
      <c r="AQ316" s="205">
        <f>AA316</f>
        <v>3664.5</v>
      </c>
      <c r="AR316" s="205">
        <f>W316*S316</f>
        <v>433.55</v>
      </c>
      <c r="AS316" s="205">
        <f>W316*T316</f>
        <v>0</v>
      </c>
      <c r="AT316" s="209">
        <f t="shared" si="377"/>
        <v>4335.5</v>
      </c>
      <c r="AU316" s="209">
        <f t="shared" si="377"/>
        <v>0</v>
      </c>
      <c r="AV316" s="203"/>
      <c r="AW316" s="251">
        <f>R316*S316</f>
        <v>4335.5</v>
      </c>
      <c r="AX316" s="251"/>
    </row>
    <row r="317" spans="2:53" s="76" customFormat="1" ht="63">
      <c r="B317" s="703">
        <f t="shared" si="373"/>
        <v>221</v>
      </c>
      <c r="C317" s="224" t="s">
        <v>1818</v>
      </c>
      <c r="D317" s="198"/>
      <c r="E317" s="703" t="s">
        <v>1211</v>
      </c>
      <c r="F317" s="703">
        <v>3</v>
      </c>
      <c r="G317" s="199">
        <v>3770</v>
      </c>
      <c r="H317" s="736"/>
      <c r="I317" s="199"/>
      <c r="J317" s="736"/>
      <c r="K317" s="199"/>
      <c r="L317" s="199"/>
      <c r="M317" s="736"/>
      <c r="N317" s="199"/>
      <c r="O317" s="737">
        <v>0.15</v>
      </c>
      <c r="P317" s="204">
        <f>G317*O317</f>
        <v>565.5</v>
      </c>
      <c r="Q317" s="199"/>
      <c r="R317" s="199">
        <f>G317+I317+K317+L317+N317+P317+Q317</f>
        <v>4335.5</v>
      </c>
      <c r="S317" s="199">
        <v>1</v>
      </c>
      <c r="T317" s="199"/>
      <c r="U317" s="199"/>
      <c r="V317" s="737">
        <v>0.1</v>
      </c>
      <c r="W317" s="199">
        <f>R317*V317</f>
        <v>433.55</v>
      </c>
      <c r="X317" s="718"/>
      <c r="Y317" s="737"/>
      <c r="Z317" s="199"/>
      <c r="AA317" s="199">
        <f>AH317</f>
        <v>3664.5</v>
      </c>
      <c r="AB317" s="796">
        <f>(R317+Z317+U317+W317)*S317+AA317</f>
        <v>8433.5499999999993</v>
      </c>
      <c r="AC317" s="738">
        <f>AF317</f>
        <v>0</v>
      </c>
      <c r="AD317" s="738">
        <f>AB317+AC317</f>
        <v>8433.5499999999993</v>
      </c>
      <c r="AE317" s="202">
        <f>AB317</f>
        <v>8433.5499999999993</v>
      </c>
      <c r="AF317" s="202">
        <f>AE317-AB317</f>
        <v>0</v>
      </c>
      <c r="AG317" s="738">
        <f>8000*S317</f>
        <v>8000</v>
      </c>
      <c r="AH317" s="202">
        <f>AG317-(R317*S317)</f>
        <v>3664.5</v>
      </c>
      <c r="AI317" s="203">
        <f>G317*S317</f>
        <v>3770</v>
      </c>
      <c r="AJ317" s="203">
        <f>G317*T317</f>
        <v>0</v>
      </c>
      <c r="AK317" s="203">
        <f>R317*S317</f>
        <v>4335.5</v>
      </c>
      <c r="AL317" s="203">
        <f>R317*T317</f>
        <v>0</v>
      </c>
      <c r="AM317" s="203">
        <f t="shared" si="409"/>
        <v>565.5</v>
      </c>
      <c r="AN317" s="203">
        <f t="shared" si="409"/>
        <v>0</v>
      </c>
      <c r="AO317" s="205">
        <f>Z317*S317</f>
        <v>0</v>
      </c>
      <c r="AP317" s="205">
        <f>Z317*T317</f>
        <v>0</v>
      </c>
      <c r="AQ317" s="205">
        <f>AA317</f>
        <v>3664.5</v>
      </c>
      <c r="AR317" s="205">
        <f>W317*S317</f>
        <v>433.55</v>
      </c>
      <c r="AS317" s="205">
        <f>W317*T317</f>
        <v>0</v>
      </c>
      <c r="AT317" s="209">
        <f t="shared" si="377"/>
        <v>4335.5</v>
      </c>
      <c r="AU317" s="209">
        <f t="shared" si="377"/>
        <v>0</v>
      </c>
      <c r="AV317" s="203"/>
      <c r="AW317" s="251">
        <f>R317*S317</f>
        <v>4335.5</v>
      </c>
      <c r="AX317" s="251"/>
    </row>
    <row r="318" spans="2:53" s="76" customFormat="1" ht="63">
      <c r="B318" s="703">
        <f t="shared" si="373"/>
        <v>222</v>
      </c>
      <c r="C318" s="224" t="s">
        <v>1818</v>
      </c>
      <c r="D318" s="198"/>
      <c r="E318" s="703" t="s">
        <v>1212</v>
      </c>
      <c r="F318" s="703">
        <v>3</v>
      </c>
      <c r="G318" s="199">
        <v>3770</v>
      </c>
      <c r="H318" s="736"/>
      <c r="I318" s="199"/>
      <c r="J318" s="736"/>
      <c r="K318" s="199"/>
      <c r="L318" s="199"/>
      <c r="M318" s="736"/>
      <c r="N318" s="199"/>
      <c r="O318" s="737">
        <v>0.15</v>
      </c>
      <c r="P318" s="204">
        <f>G318*O318</f>
        <v>565.5</v>
      </c>
      <c r="Q318" s="199"/>
      <c r="R318" s="199">
        <f>G318+I318+K318+L318+N318+P318+Q318</f>
        <v>4335.5</v>
      </c>
      <c r="S318" s="199">
        <v>1</v>
      </c>
      <c r="T318" s="199"/>
      <c r="U318" s="199"/>
      <c r="V318" s="737">
        <v>0.1</v>
      </c>
      <c r="W318" s="199">
        <f>R318*V318</f>
        <v>433.55</v>
      </c>
      <c r="X318" s="718"/>
      <c r="Y318" s="737"/>
      <c r="Z318" s="199"/>
      <c r="AA318" s="199">
        <f>AH318</f>
        <v>3664.5</v>
      </c>
      <c r="AB318" s="796">
        <f>(R318+Z318+U318+W318)*S318+AA318</f>
        <v>8433.5499999999993</v>
      </c>
      <c r="AC318" s="738">
        <f>AF318</f>
        <v>0</v>
      </c>
      <c r="AD318" s="738">
        <f>AB318+AC318</f>
        <v>8433.5499999999993</v>
      </c>
      <c r="AE318" s="202">
        <f>AB318</f>
        <v>8433.5499999999993</v>
      </c>
      <c r="AF318" s="202">
        <f>AE318-AB318</f>
        <v>0</v>
      </c>
      <c r="AG318" s="738">
        <f>8000*S318</f>
        <v>8000</v>
      </c>
      <c r="AH318" s="202">
        <f>AG318-(R318*S318)</f>
        <v>3664.5</v>
      </c>
      <c r="AI318" s="203">
        <f>G318*S318</f>
        <v>3770</v>
      </c>
      <c r="AJ318" s="203">
        <f>G318*T318</f>
        <v>0</v>
      </c>
      <c r="AK318" s="203">
        <f>R318*S318</f>
        <v>4335.5</v>
      </c>
      <c r="AL318" s="203">
        <f>R318*T318</f>
        <v>0</v>
      </c>
      <c r="AM318" s="203">
        <f t="shared" si="409"/>
        <v>565.5</v>
      </c>
      <c r="AN318" s="203">
        <f t="shared" si="409"/>
        <v>0</v>
      </c>
      <c r="AO318" s="205">
        <f>Z318*S318</f>
        <v>0</v>
      </c>
      <c r="AP318" s="205">
        <f>Z318*T318</f>
        <v>0</v>
      </c>
      <c r="AQ318" s="205">
        <f>AA318</f>
        <v>3664.5</v>
      </c>
      <c r="AR318" s="205">
        <f>W318*S318</f>
        <v>433.55</v>
      </c>
      <c r="AS318" s="205">
        <f>W318*T318</f>
        <v>0</v>
      </c>
      <c r="AT318" s="209">
        <f t="shared" si="377"/>
        <v>4335.5</v>
      </c>
      <c r="AU318" s="209">
        <f t="shared" si="377"/>
        <v>0</v>
      </c>
      <c r="AV318" s="203"/>
      <c r="AW318" s="251">
        <f>R318*S318</f>
        <v>4335.5</v>
      </c>
      <c r="AX318" s="251"/>
    </row>
    <row r="319" spans="2:53" s="76" customFormat="1" ht="63">
      <c r="B319" s="703">
        <f t="shared" si="373"/>
        <v>223</v>
      </c>
      <c r="C319" s="224" t="s">
        <v>1818</v>
      </c>
      <c r="D319" s="198"/>
      <c r="E319" s="703" t="s">
        <v>1208</v>
      </c>
      <c r="F319" s="703">
        <v>3</v>
      </c>
      <c r="G319" s="199">
        <v>3770</v>
      </c>
      <c r="H319" s="736"/>
      <c r="I319" s="199"/>
      <c r="J319" s="741"/>
      <c r="K319" s="206"/>
      <c r="L319" s="206"/>
      <c r="M319" s="741"/>
      <c r="N319" s="206"/>
      <c r="O319" s="737">
        <v>0.15</v>
      </c>
      <c r="P319" s="204">
        <f>G319*O319</f>
        <v>565.5</v>
      </c>
      <c r="Q319" s="206"/>
      <c r="R319" s="199">
        <f>G319+I319+K319+L319+N319+P319+Q319</f>
        <v>4335.5</v>
      </c>
      <c r="S319" s="199">
        <v>1</v>
      </c>
      <c r="T319" s="206"/>
      <c r="U319" s="206"/>
      <c r="V319" s="737">
        <v>0.1</v>
      </c>
      <c r="W319" s="199">
        <f>R319*V319</f>
        <v>433.55</v>
      </c>
      <c r="X319" s="718"/>
      <c r="Y319" s="737"/>
      <c r="Z319" s="199"/>
      <c r="AA319" s="199">
        <f>AH319</f>
        <v>3664.5</v>
      </c>
      <c r="AB319" s="796">
        <f>(R319+Z319+U319+W319)*S319+AA319</f>
        <v>8433.5499999999993</v>
      </c>
      <c r="AC319" s="738">
        <f>AF319</f>
        <v>0</v>
      </c>
      <c r="AD319" s="738">
        <f>AB319+AC319</f>
        <v>8433.5499999999993</v>
      </c>
      <c r="AE319" s="202">
        <f>AB319</f>
        <v>8433.5499999999993</v>
      </c>
      <c r="AF319" s="202">
        <f>AE319-AB319</f>
        <v>0</v>
      </c>
      <c r="AG319" s="738">
        <f>8000*S319</f>
        <v>8000</v>
      </c>
      <c r="AH319" s="202">
        <f>AG319-(R319*S319)</f>
        <v>3664.5</v>
      </c>
      <c r="AI319" s="203">
        <f>G319*S319</f>
        <v>3770</v>
      </c>
      <c r="AJ319" s="203">
        <f>G319*T319</f>
        <v>0</v>
      </c>
      <c r="AK319" s="203">
        <f>R319*S319</f>
        <v>4335.5</v>
      </c>
      <c r="AL319" s="203">
        <f>R319*T319</f>
        <v>0</v>
      </c>
      <c r="AM319" s="203">
        <f t="shared" si="409"/>
        <v>565.5</v>
      </c>
      <c r="AN319" s="203">
        <f t="shared" si="409"/>
        <v>0</v>
      </c>
      <c r="AO319" s="205">
        <f>Z319*S319</f>
        <v>0</v>
      </c>
      <c r="AP319" s="205">
        <f>Z319*T319</f>
        <v>0</v>
      </c>
      <c r="AQ319" s="205">
        <f>AA319</f>
        <v>3664.5</v>
      </c>
      <c r="AR319" s="205">
        <f>W319*S319</f>
        <v>433.55</v>
      </c>
      <c r="AS319" s="205">
        <f>W319*T319</f>
        <v>0</v>
      </c>
      <c r="AT319" s="209">
        <f t="shared" si="377"/>
        <v>4335.5</v>
      </c>
      <c r="AU319" s="209">
        <f t="shared" si="377"/>
        <v>0</v>
      </c>
      <c r="AV319" s="203"/>
      <c r="AW319" s="251">
        <f>R319*S319</f>
        <v>4335.5</v>
      </c>
      <c r="AX319" s="251"/>
    </row>
    <row r="320" spans="2:53" s="76" customFormat="1" ht="31.5">
      <c r="B320" s="703"/>
      <c r="C320" s="180" t="s">
        <v>1736</v>
      </c>
      <c r="D320" s="207"/>
      <c r="E320" s="193"/>
      <c r="F320" s="193"/>
      <c r="G320" s="183">
        <f>SUM(G315:G319)</f>
        <v>18850</v>
      </c>
      <c r="H320" s="731"/>
      <c r="I320" s="193"/>
      <c r="J320" s="731"/>
      <c r="K320" s="193"/>
      <c r="L320" s="193"/>
      <c r="M320" s="731"/>
      <c r="N320" s="193"/>
      <c r="O320" s="731"/>
      <c r="P320" s="183">
        <f>SUM(P315:P319)</f>
        <v>2827.5</v>
      </c>
      <c r="Q320" s="193"/>
      <c r="R320" s="183">
        <f>SUM(R315:R319)</f>
        <v>21677.5</v>
      </c>
      <c r="S320" s="183">
        <f>SUM(S315:S319)</f>
        <v>5</v>
      </c>
      <c r="T320" s="183">
        <f>SUM(T315:T319)</f>
        <v>0</v>
      </c>
      <c r="U320" s="183"/>
      <c r="V320" s="742"/>
      <c r="W320" s="183">
        <f>SUM(W315:W319)</f>
        <v>2167.75</v>
      </c>
      <c r="X320" s="742"/>
      <c r="Y320" s="742"/>
      <c r="Z320" s="183"/>
      <c r="AA320" s="183">
        <f t="shared" ref="AA320:AV320" si="410">SUM(AA315:AA319)</f>
        <v>18322.5</v>
      </c>
      <c r="AB320" s="797">
        <f t="shared" si="410"/>
        <v>42167.75</v>
      </c>
      <c r="AC320" s="183">
        <f t="shared" si="410"/>
        <v>0</v>
      </c>
      <c r="AD320" s="183">
        <f>SUM(AD315:AD319)</f>
        <v>42167.75</v>
      </c>
      <c r="AE320" s="183">
        <f t="shared" si="410"/>
        <v>42167.75</v>
      </c>
      <c r="AF320" s="183">
        <f t="shared" si="410"/>
        <v>0</v>
      </c>
      <c r="AG320" s="183">
        <f t="shared" si="410"/>
        <v>40000</v>
      </c>
      <c r="AH320" s="183">
        <f t="shared" si="410"/>
        <v>18322.5</v>
      </c>
      <c r="AI320" s="183">
        <f t="shared" si="410"/>
        <v>18850</v>
      </c>
      <c r="AJ320" s="183">
        <f t="shared" si="410"/>
        <v>0</v>
      </c>
      <c r="AK320" s="183">
        <f t="shared" si="410"/>
        <v>21677.5</v>
      </c>
      <c r="AL320" s="183">
        <f t="shared" si="410"/>
        <v>0</v>
      </c>
      <c r="AM320" s="183">
        <f t="shared" si="410"/>
        <v>2827.5</v>
      </c>
      <c r="AN320" s="183">
        <f t="shared" si="410"/>
        <v>0</v>
      </c>
      <c r="AO320" s="183">
        <f t="shared" si="410"/>
        <v>0</v>
      </c>
      <c r="AP320" s="183">
        <f t="shared" si="410"/>
        <v>0</v>
      </c>
      <c r="AQ320" s="183">
        <f t="shared" si="410"/>
        <v>18322.5</v>
      </c>
      <c r="AR320" s="183">
        <f t="shared" si="410"/>
        <v>2167.75</v>
      </c>
      <c r="AS320" s="183">
        <f t="shared" si="410"/>
        <v>0</v>
      </c>
      <c r="AT320" s="183">
        <f t="shared" si="410"/>
        <v>21677.5</v>
      </c>
      <c r="AU320" s="183">
        <f t="shared" si="410"/>
        <v>0</v>
      </c>
      <c r="AV320" s="183">
        <f t="shared" si="410"/>
        <v>0</v>
      </c>
      <c r="AW320" s="183">
        <f>SUM(AW315:AW319)</f>
        <v>21677.5</v>
      </c>
      <c r="AX320" s="183">
        <f>SUM(AX315:AX319)</f>
        <v>0</v>
      </c>
    </row>
    <row r="321" spans="2:53" s="76" customFormat="1" ht="31.5">
      <c r="B321" s="703"/>
      <c r="C321" s="180" t="s">
        <v>1278</v>
      </c>
      <c r="D321" s="207"/>
      <c r="E321" s="193"/>
      <c r="F321" s="193"/>
      <c r="G321" s="184">
        <f>G299+G313+G320</f>
        <v>144637</v>
      </c>
      <c r="H321" s="742"/>
      <c r="I321" s="183"/>
      <c r="J321" s="742"/>
      <c r="K321" s="183"/>
      <c r="L321" s="183"/>
      <c r="M321" s="742"/>
      <c r="N321" s="183"/>
      <c r="O321" s="742"/>
      <c r="P321" s="184">
        <f>P299+P313+P320</f>
        <v>21782.775000000001</v>
      </c>
      <c r="Q321" s="183"/>
      <c r="R321" s="183">
        <f>R299+R313+R320</f>
        <v>169939.435</v>
      </c>
      <c r="S321" s="183">
        <f>S299+S313+S320</f>
        <v>20</v>
      </c>
      <c r="T321" s="183">
        <f>T299+T313+T320</f>
        <v>2</v>
      </c>
      <c r="U321" s="183"/>
      <c r="V321" s="742"/>
      <c r="W321" s="183">
        <f>W299+W313+W320</f>
        <v>2167.75</v>
      </c>
      <c r="X321" s="742"/>
      <c r="Y321" s="742"/>
      <c r="Z321" s="183">
        <f>Z299+Z313+Z320</f>
        <v>35418.075499999992</v>
      </c>
      <c r="AA321" s="183">
        <f>AA299+AA313+AA320</f>
        <v>19163.204999999998</v>
      </c>
      <c r="AB321" s="797">
        <f>AB299+AB313+AB320</f>
        <v>200647.2905</v>
      </c>
      <c r="AC321" s="183">
        <f>AC299+AC313+AC320</f>
        <v>116520.45950000001</v>
      </c>
      <c r="AD321" s="183">
        <f>AD299+AD313+AD320</f>
        <v>317167.75</v>
      </c>
      <c r="AE321" s="183">
        <f t="shared" ref="AE321:AX321" si="411">AE299+AE313+AE320</f>
        <v>317167.75</v>
      </c>
      <c r="AF321" s="183">
        <f t="shared" si="411"/>
        <v>116520.45950000001</v>
      </c>
      <c r="AG321" s="183">
        <f>AG299+AG313+AG320</f>
        <v>176000</v>
      </c>
      <c r="AH321" s="183">
        <f t="shared" si="411"/>
        <v>27462.520499999999</v>
      </c>
      <c r="AI321" s="183">
        <f t="shared" si="411"/>
        <v>113646</v>
      </c>
      <c r="AJ321" s="183">
        <f t="shared" si="411"/>
        <v>12348.5</v>
      </c>
      <c r="AK321" s="183">
        <f t="shared" si="411"/>
        <v>134299.785</v>
      </c>
      <c r="AL321" s="183">
        <f t="shared" si="411"/>
        <v>14200.775</v>
      </c>
      <c r="AM321" s="183">
        <f t="shared" si="411"/>
        <v>20653.784999999996</v>
      </c>
      <c r="AN321" s="183">
        <f t="shared" si="411"/>
        <v>1852.2750000000001</v>
      </c>
      <c r="AO321" s="183">
        <f t="shared" si="411"/>
        <v>27397.227999999996</v>
      </c>
      <c r="AP321" s="183">
        <f t="shared" si="411"/>
        <v>4418.1850000000004</v>
      </c>
      <c r="AQ321" s="183">
        <f t="shared" si="411"/>
        <v>19125.114999999998</v>
      </c>
      <c r="AR321" s="183">
        <f t="shared" si="411"/>
        <v>2167.75</v>
      </c>
      <c r="AS321" s="183">
        <f t="shared" si="411"/>
        <v>0</v>
      </c>
      <c r="AT321" s="183">
        <f t="shared" si="411"/>
        <v>134299.785</v>
      </c>
      <c r="AU321" s="183">
        <f t="shared" si="411"/>
        <v>14200.775</v>
      </c>
      <c r="AV321" s="183">
        <f t="shared" si="411"/>
        <v>0</v>
      </c>
      <c r="AW321" s="183">
        <f t="shared" si="411"/>
        <v>149051.41</v>
      </c>
      <c r="AX321" s="183">
        <f t="shared" si="411"/>
        <v>0</v>
      </c>
    </row>
    <row r="322" spans="2:53" s="76" customFormat="1" ht="33">
      <c r="B322" s="703"/>
      <c r="C322" s="193" t="s">
        <v>1838</v>
      </c>
      <c r="D322" s="207"/>
      <c r="E322" s="193"/>
      <c r="F322" s="193"/>
      <c r="G322" s="185"/>
      <c r="H322" s="753"/>
      <c r="I322" s="185"/>
      <c r="J322" s="753"/>
      <c r="K322" s="185"/>
      <c r="L322" s="185"/>
      <c r="M322" s="753"/>
      <c r="N322" s="185"/>
      <c r="O322" s="753"/>
      <c r="P322" s="185"/>
      <c r="Q322" s="185"/>
      <c r="R322" s="185"/>
      <c r="S322" s="183"/>
      <c r="T322" s="183"/>
      <c r="U322" s="185"/>
      <c r="V322" s="753"/>
      <c r="W322" s="185"/>
      <c r="X322" s="753"/>
      <c r="Y322" s="753"/>
      <c r="Z322" s="185"/>
      <c r="AA322" s="185"/>
      <c r="AB322" s="801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209">
        <f t="shared" si="377"/>
        <v>0</v>
      </c>
      <c r="AU322" s="209">
        <f t="shared" si="377"/>
        <v>0</v>
      </c>
      <c r="AV322" s="185"/>
      <c r="AW322" s="185"/>
      <c r="AX322" s="251"/>
    </row>
    <row r="323" spans="2:53" s="76" customFormat="1" ht="33">
      <c r="B323" s="703"/>
      <c r="C323" s="191" t="s">
        <v>1057</v>
      </c>
      <c r="D323" s="192"/>
      <c r="E323" s="193"/>
      <c r="F323" s="193"/>
      <c r="G323" s="193"/>
      <c r="H323" s="731"/>
      <c r="I323" s="193"/>
      <c r="J323" s="731"/>
      <c r="K323" s="193"/>
      <c r="L323" s="193"/>
      <c r="M323" s="731"/>
      <c r="N323" s="193"/>
      <c r="O323" s="731"/>
      <c r="P323" s="193"/>
      <c r="Q323" s="193"/>
      <c r="R323" s="193"/>
      <c r="S323" s="193"/>
      <c r="T323" s="193"/>
      <c r="U323" s="193"/>
      <c r="V323" s="732"/>
      <c r="W323" s="193"/>
      <c r="X323" s="732"/>
      <c r="Y323" s="732"/>
      <c r="Z323" s="193"/>
      <c r="AA323" s="193"/>
      <c r="AB323" s="795"/>
      <c r="AC323" s="195"/>
      <c r="AD323" s="195"/>
      <c r="AE323" s="195"/>
      <c r="AF323" s="195"/>
      <c r="AG323" s="195"/>
      <c r="AH323" s="195"/>
      <c r="AI323" s="203">
        <f>G323*S323</f>
        <v>0</v>
      </c>
      <c r="AJ323" s="203">
        <f>G323*T323</f>
        <v>0</v>
      </c>
      <c r="AK323" s="203">
        <f>R323*S323</f>
        <v>0</v>
      </c>
      <c r="AL323" s="203">
        <f>R323*T323</f>
        <v>0</v>
      </c>
      <c r="AM323" s="203">
        <f t="shared" ref="AM323:AN327" si="412">AK323-AI323</f>
        <v>0</v>
      </c>
      <c r="AN323" s="203">
        <f t="shared" si="412"/>
        <v>0</v>
      </c>
      <c r="AO323" s="205">
        <f>Z323*S323</f>
        <v>0</v>
      </c>
      <c r="AP323" s="205">
        <f>Z323*T323</f>
        <v>0</v>
      </c>
      <c r="AQ323" s="205">
        <f>AA323</f>
        <v>0</v>
      </c>
      <c r="AR323" s="205">
        <f>W323*S323</f>
        <v>0</v>
      </c>
      <c r="AS323" s="205">
        <f>W323*T323</f>
        <v>0</v>
      </c>
      <c r="AT323" s="209">
        <f t="shared" si="377"/>
        <v>0</v>
      </c>
      <c r="AU323" s="209">
        <f t="shared" si="377"/>
        <v>0</v>
      </c>
      <c r="AV323" s="203"/>
      <c r="AW323" s="251"/>
      <c r="AX323" s="251"/>
    </row>
    <row r="324" spans="2:53" s="76" customFormat="1" ht="33">
      <c r="B324" s="703"/>
      <c r="C324" s="220" t="s">
        <v>1382</v>
      </c>
      <c r="D324" s="217"/>
      <c r="E324" s="218"/>
      <c r="F324" s="218"/>
      <c r="G324" s="218"/>
      <c r="H324" s="745"/>
      <c r="I324" s="218"/>
      <c r="J324" s="745"/>
      <c r="K324" s="218"/>
      <c r="L324" s="218"/>
      <c r="M324" s="745"/>
      <c r="N324" s="218"/>
      <c r="O324" s="745"/>
      <c r="P324" s="218"/>
      <c r="Q324" s="218"/>
      <c r="R324" s="218"/>
      <c r="S324" s="218"/>
      <c r="T324" s="218"/>
      <c r="U324" s="218"/>
      <c r="V324" s="746"/>
      <c r="W324" s="218"/>
      <c r="X324" s="746"/>
      <c r="Y324" s="746"/>
      <c r="Z324" s="218"/>
      <c r="AA324" s="218"/>
      <c r="AB324" s="799"/>
      <c r="AC324" s="219"/>
      <c r="AD324" s="219"/>
      <c r="AE324" s="219"/>
      <c r="AF324" s="219"/>
      <c r="AG324" s="219"/>
      <c r="AH324" s="219"/>
      <c r="AI324" s="203">
        <f>G324*S324</f>
        <v>0</v>
      </c>
      <c r="AJ324" s="203">
        <f>G324*T324</f>
        <v>0</v>
      </c>
      <c r="AK324" s="203">
        <f>R324*S324</f>
        <v>0</v>
      </c>
      <c r="AL324" s="203">
        <f>R324*T324</f>
        <v>0</v>
      </c>
      <c r="AM324" s="203">
        <f t="shared" si="412"/>
        <v>0</v>
      </c>
      <c r="AN324" s="203">
        <f t="shared" si="412"/>
        <v>0</v>
      </c>
      <c r="AO324" s="205">
        <f>Z324*S324</f>
        <v>0</v>
      </c>
      <c r="AP324" s="205">
        <f>Z324*T324</f>
        <v>0</v>
      </c>
      <c r="AQ324" s="205">
        <f>AA324</f>
        <v>0</v>
      </c>
      <c r="AR324" s="205">
        <f>W324*S324</f>
        <v>0</v>
      </c>
      <c r="AS324" s="205">
        <f>W324*T324</f>
        <v>0</v>
      </c>
      <c r="AT324" s="209">
        <f t="shared" si="377"/>
        <v>0</v>
      </c>
      <c r="AU324" s="209">
        <f t="shared" si="377"/>
        <v>0</v>
      </c>
      <c r="AV324" s="203"/>
      <c r="AW324" s="251"/>
      <c r="AX324" s="251"/>
      <c r="BA324" s="77"/>
    </row>
    <row r="325" spans="2:53" s="76" customFormat="1" ht="58.5">
      <c r="B325" s="703">
        <f>B319+1</f>
        <v>224</v>
      </c>
      <c r="C325" s="197" t="s">
        <v>1789</v>
      </c>
      <c r="D325" s="198" t="s">
        <v>201</v>
      </c>
      <c r="E325" s="703" t="s">
        <v>202</v>
      </c>
      <c r="F325" s="703">
        <v>10</v>
      </c>
      <c r="G325" s="199">
        <v>5815</v>
      </c>
      <c r="H325" s="736"/>
      <c r="I325" s="199"/>
      <c r="J325" s="736"/>
      <c r="K325" s="199"/>
      <c r="L325" s="199"/>
      <c r="M325" s="736"/>
      <c r="N325" s="193"/>
      <c r="O325" s="731"/>
      <c r="P325" s="193"/>
      <c r="Q325" s="199"/>
      <c r="R325" s="199">
        <f>G325+I325+K325+L325+N325+P325+Q325</f>
        <v>5815</v>
      </c>
      <c r="S325" s="199"/>
      <c r="T325" s="199">
        <v>0.25</v>
      </c>
      <c r="U325" s="199"/>
      <c r="V325" s="736"/>
      <c r="W325" s="199"/>
      <c r="X325" s="718">
        <v>2</v>
      </c>
      <c r="Y325" s="737">
        <v>0</v>
      </c>
      <c r="Z325" s="199">
        <f>R325*Y325</f>
        <v>0</v>
      </c>
      <c r="AA325" s="199">
        <f>AH325</f>
        <v>546.25</v>
      </c>
      <c r="AB325" s="796">
        <f>(R325+Z325)*T325+AA325</f>
        <v>2000</v>
      </c>
      <c r="AC325" s="738">
        <f>AF325</f>
        <v>3000</v>
      </c>
      <c r="AD325" s="738">
        <f>AB325+AC325</f>
        <v>5000</v>
      </c>
      <c r="AE325" s="202">
        <f>20000*T325</f>
        <v>5000</v>
      </c>
      <c r="AF325" s="202">
        <f>AE325-AB325</f>
        <v>3000</v>
      </c>
      <c r="AG325" s="738">
        <f>8000*T325</f>
        <v>2000</v>
      </c>
      <c r="AH325" s="202">
        <f>AG325-(R325+Z325)*T325</f>
        <v>546.25</v>
      </c>
      <c r="AI325" s="203">
        <f>G325*S325</f>
        <v>0</v>
      </c>
      <c r="AJ325" s="203">
        <f>G325*T325</f>
        <v>1453.75</v>
      </c>
      <c r="AK325" s="203">
        <f>R325*S325</f>
        <v>0</v>
      </c>
      <c r="AL325" s="203">
        <f>R325*T325</f>
        <v>1453.75</v>
      </c>
      <c r="AM325" s="203">
        <f t="shared" si="412"/>
        <v>0</v>
      </c>
      <c r="AN325" s="203">
        <f t="shared" si="412"/>
        <v>0</v>
      </c>
      <c r="AO325" s="205">
        <f>Z325*S325</f>
        <v>0</v>
      </c>
      <c r="AP325" s="205">
        <f>Z325*T325</f>
        <v>0</v>
      </c>
      <c r="AQ325" s="205">
        <f>AA325</f>
        <v>546.25</v>
      </c>
      <c r="AR325" s="205">
        <f>W325*S325</f>
        <v>0</v>
      </c>
      <c r="AS325" s="205">
        <f>W325*T325</f>
        <v>0</v>
      </c>
      <c r="AT325" s="209">
        <f t="shared" si="377"/>
        <v>0</v>
      </c>
      <c r="AU325" s="209">
        <f t="shared" si="377"/>
        <v>1453.75</v>
      </c>
      <c r="AV325" s="203"/>
      <c r="AW325" s="251">
        <f>R325*T325</f>
        <v>1453.75</v>
      </c>
      <c r="AX325" s="251"/>
    </row>
    <row r="326" spans="2:53" s="76" customFormat="1" ht="33">
      <c r="B326" s="703"/>
      <c r="C326" s="197"/>
      <c r="D326" s="198"/>
      <c r="E326" s="703"/>
      <c r="F326" s="703"/>
      <c r="G326" s="199"/>
      <c r="H326" s="736"/>
      <c r="I326" s="199"/>
      <c r="J326" s="736"/>
      <c r="K326" s="199"/>
      <c r="L326" s="199"/>
      <c r="M326" s="736"/>
      <c r="N326" s="193"/>
      <c r="O326" s="731"/>
      <c r="P326" s="193"/>
      <c r="Q326" s="199"/>
      <c r="R326" s="199">
        <f>G326+I326+K326+L326+N326+P326+Q326</f>
        <v>0</v>
      </c>
      <c r="S326" s="199"/>
      <c r="T326" s="199"/>
      <c r="U326" s="199"/>
      <c r="V326" s="736"/>
      <c r="W326" s="199"/>
      <c r="X326" s="718"/>
      <c r="Y326" s="737"/>
      <c r="Z326" s="199">
        <f>R326*Y326</f>
        <v>0</v>
      </c>
      <c r="AA326" s="199">
        <f>AH326</f>
        <v>0</v>
      </c>
      <c r="AB326" s="796">
        <f>(R326+Z326)*S326+AA326</f>
        <v>0</v>
      </c>
      <c r="AC326" s="738">
        <f>AF326</f>
        <v>0</v>
      </c>
      <c r="AD326" s="738">
        <f>AB326+AC326</f>
        <v>0</v>
      </c>
      <c r="AE326" s="202">
        <f>20000*S326</f>
        <v>0</v>
      </c>
      <c r="AF326" s="202">
        <f>AE326-AB326</f>
        <v>0</v>
      </c>
      <c r="AG326" s="738">
        <f>8000*S326</f>
        <v>0</v>
      </c>
      <c r="AH326" s="202">
        <f>AG326-(R326+Z326)*S326</f>
        <v>0</v>
      </c>
      <c r="AI326" s="203">
        <f>G326*S326</f>
        <v>0</v>
      </c>
      <c r="AJ326" s="203">
        <f>G326*T326</f>
        <v>0</v>
      </c>
      <c r="AK326" s="203">
        <f>R326*S326</f>
        <v>0</v>
      </c>
      <c r="AL326" s="203">
        <f>R326*T326</f>
        <v>0</v>
      </c>
      <c r="AM326" s="203">
        <f t="shared" si="412"/>
        <v>0</v>
      </c>
      <c r="AN326" s="203">
        <f t="shared" si="412"/>
        <v>0</v>
      </c>
      <c r="AO326" s="205">
        <f>Z326*S326</f>
        <v>0</v>
      </c>
      <c r="AP326" s="205">
        <f>Z326*T326</f>
        <v>0</v>
      </c>
      <c r="AQ326" s="205">
        <f>AA326</f>
        <v>0</v>
      </c>
      <c r="AR326" s="205">
        <f>W326*S326</f>
        <v>0</v>
      </c>
      <c r="AS326" s="205">
        <f>W326*T326</f>
        <v>0</v>
      </c>
      <c r="AT326" s="209">
        <f t="shared" si="377"/>
        <v>0</v>
      </c>
      <c r="AU326" s="209">
        <f t="shared" si="377"/>
        <v>0</v>
      </c>
      <c r="AV326" s="203"/>
      <c r="AW326" s="251">
        <f>R326*S326</f>
        <v>0</v>
      </c>
      <c r="AX326" s="251"/>
    </row>
    <row r="327" spans="2:53" s="76" customFormat="1" ht="58.5">
      <c r="B327" s="703">
        <f>B325+1</f>
        <v>225</v>
      </c>
      <c r="C327" s="197" t="s">
        <v>1789</v>
      </c>
      <c r="D327" s="198" t="s">
        <v>201</v>
      </c>
      <c r="E327" s="703" t="s">
        <v>202</v>
      </c>
      <c r="F327" s="703">
        <v>10</v>
      </c>
      <c r="G327" s="199">
        <v>5815</v>
      </c>
      <c r="H327" s="736"/>
      <c r="I327" s="199"/>
      <c r="J327" s="736"/>
      <c r="K327" s="199"/>
      <c r="L327" s="199"/>
      <c r="M327" s="736"/>
      <c r="N327" s="193"/>
      <c r="O327" s="731"/>
      <c r="P327" s="193"/>
      <c r="Q327" s="199"/>
      <c r="R327" s="199">
        <f>G327+I327+K327+L327+N327+P327+Q327</f>
        <v>5815</v>
      </c>
      <c r="S327" s="199">
        <v>1</v>
      </c>
      <c r="T327" s="199"/>
      <c r="U327" s="199"/>
      <c r="V327" s="736"/>
      <c r="W327" s="199"/>
      <c r="X327" s="718">
        <v>2</v>
      </c>
      <c r="Y327" s="737">
        <v>0</v>
      </c>
      <c r="Z327" s="199">
        <f>R327*Y327</f>
        <v>0</v>
      </c>
      <c r="AA327" s="199">
        <f>AH327</f>
        <v>2185</v>
      </c>
      <c r="AB327" s="796">
        <f>(R327+Z327)*S327+AA327</f>
        <v>8000</v>
      </c>
      <c r="AC327" s="738">
        <f>AF327</f>
        <v>12000</v>
      </c>
      <c r="AD327" s="738">
        <f>AB327+AC327</f>
        <v>20000</v>
      </c>
      <c r="AE327" s="202">
        <f>20000*S327</f>
        <v>20000</v>
      </c>
      <c r="AF327" s="202">
        <f>AE327-AB327</f>
        <v>12000</v>
      </c>
      <c r="AG327" s="738">
        <f>8000*S327</f>
        <v>8000</v>
      </c>
      <c r="AH327" s="202">
        <f>AG327-(R327+Z327)*S327</f>
        <v>2185</v>
      </c>
      <c r="AI327" s="203">
        <f>G327*S327</f>
        <v>5815</v>
      </c>
      <c r="AJ327" s="203">
        <f>G327*T327</f>
        <v>0</v>
      </c>
      <c r="AK327" s="203">
        <f>R327*S327</f>
        <v>5815</v>
      </c>
      <c r="AL327" s="203">
        <f>R327*T327</f>
        <v>0</v>
      </c>
      <c r="AM327" s="203">
        <f t="shared" si="412"/>
        <v>0</v>
      </c>
      <c r="AN327" s="203">
        <f t="shared" si="412"/>
        <v>0</v>
      </c>
      <c r="AO327" s="205">
        <f>Z327*S327</f>
        <v>0</v>
      </c>
      <c r="AP327" s="205">
        <f>Z327*T327</f>
        <v>0</v>
      </c>
      <c r="AQ327" s="205">
        <f>AA327</f>
        <v>2185</v>
      </c>
      <c r="AR327" s="205">
        <f>W327*S327</f>
        <v>0</v>
      </c>
      <c r="AS327" s="205">
        <f>W327*T327</f>
        <v>0</v>
      </c>
      <c r="AT327" s="209">
        <f t="shared" si="377"/>
        <v>5815</v>
      </c>
      <c r="AU327" s="209">
        <f t="shared" si="377"/>
        <v>0</v>
      </c>
      <c r="AV327" s="203"/>
      <c r="AW327" s="251">
        <f>R327*S327</f>
        <v>5815</v>
      </c>
      <c r="AX327" s="251"/>
    </row>
    <row r="328" spans="2:53" s="76" customFormat="1" ht="31.5">
      <c r="B328" s="703"/>
      <c r="C328" s="180" t="s">
        <v>1736</v>
      </c>
      <c r="D328" s="207"/>
      <c r="E328" s="193"/>
      <c r="F328" s="193"/>
      <c r="G328" s="183">
        <f>SUM(G325:G327)</f>
        <v>11630</v>
      </c>
      <c r="H328" s="731"/>
      <c r="I328" s="193"/>
      <c r="J328" s="731"/>
      <c r="K328" s="193"/>
      <c r="L328" s="193"/>
      <c r="M328" s="731"/>
      <c r="N328" s="193"/>
      <c r="O328" s="731"/>
      <c r="P328" s="193"/>
      <c r="Q328" s="193"/>
      <c r="R328" s="183">
        <f>SUM(R325:R327)</f>
        <v>11630</v>
      </c>
      <c r="S328" s="183">
        <f>SUM(S325:S327)</f>
        <v>1</v>
      </c>
      <c r="T328" s="183">
        <f>SUM(T325:T327)</f>
        <v>0.25</v>
      </c>
      <c r="U328" s="183"/>
      <c r="V328" s="742"/>
      <c r="W328" s="183"/>
      <c r="X328" s="742"/>
      <c r="Y328" s="742"/>
      <c r="Z328" s="183">
        <f t="shared" ref="Z328:AV328" si="413">SUM(Z325:Z327)</f>
        <v>0</v>
      </c>
      <c r="AA328" s="183">
        <f t="shared" si="413"/>
        <v>2731.25</v>
      </c>
      <c r="AB328" s="797">
        <f t="shared" si="413"/>
        <v>10000</v>
      </c>
      <c r="AC328" s="183">
        <f t="shared" si="413"/>
        <v>15000</v>
      </c>
      <c r="AD328" s="183">
        <f t="shared" si="413"/>
        <v>25000</v>
      </c>
      <c r="AE328" s="183">
        <f t="shared" si="413"/>
        <v>25000</v>
      </c>
      <c r="AF328" s="183">
        <f t="shared" si="413"/>
        <v>15000</v>
      </c>
      <c r="AG328" s="183">
        <f t="shared" si="413"/>
        <v>10000</v>
      </c>
      <c r="AH328" s="183">
        <f t="shared" si="413"/>
        <v>2731.25</v>
      </c>
      <c r="AI328" s="183">
        <f t="shared" si="413"/>
        <v>5815</v>
      </c>
      <c r="AJ328" s="183">
        <f t="shared" si="413"/>
        <v>1453.75</v>
      </c>
      <c r="AK328" s="183">
        <f t="shared" si="413"/>
        <v>5815</v>
      </c>
      <c r="AL328" s="183">
        <f t="shared" si="413"/>
        <v>1453.75</v>
      </c>
      <c r="AM328" s="183">
        <f t="shared" si="413"/>
        <v>0</v>
      </c>
      <c r="AN328" s="183">
        <f t="shared" si="413"/>
        <v>0</v>
      </c>
      <c r="AO328" s="183">
        <f t="shared" si="413"/>
        <v>0</v>
      </c>
      <c r="AP328" s="183">
        <f t="shared" si="413"/>
        <v>0</v>
      </c>
      <c r="AQ328" s="183">
        <f t="shared" si="413"/>
        <v>2731.25</v>
      </c>
      <c r="AR328" s="183">
        <f t="shared" si="413"/>
        <v>0</v>
      </c>
      <c r="AS328" s="183">
        <f t="shared" si="413"/>
        <v>0</v>
      </c>
      <c r="AT328" s="183">
        <f t="shared" si="413"/>
        <v>5815</v>
      </c>
      <c r="AU328" s="183">
        <f t="shared" si="413"/>
        <v>1453.75</v>
      </c>
      <c r="AV328" s="183">
        <f t="shared" si="413"/>
        <v>0</v>
      </c>
      <c r="AW328" s="183">
        <f>SUM(AW325:AW327)</f>
        <v>7268.75</v>
      </c>
      <c r="AX328" s="183">
        <f>SUM(AX325:AX327)</f>
        <v>0</v>
      </c>
    </row>
    <row r="329" spans="2:53" s="76" customFormat="1" ht="33">
      <c r="B329" s="703"/>
      <c r="C329" s="220" t="s">
        <v>1581</v>
      </c>
      <c r="D329" s="192"/>
      <c r="E329" s="193"/>
      <c r="F329" s="193"/>
      <c r="G329" s="193"/>
      <c r="H329" s="731"/>
      <c r="I329" s="193"/>
      <c r="J329" s="731"/>
      <c r="K329" s="193"/>
      <c r="L329" s="193"/>
      <c r="M329" s="731"/>
      <c r="N329" s="193"/>
      <c r="O329" s="731"/>
      <c r="P329" s="193"/>
      <c r="Q329" s="193"/>
      <c r="R329" s="193"/>
      <c r="S329" s="193"/>
      <c r="T329" s="193"/>
      <c r="U329" s="193"/>
      <c r="V329" s="732"/>
      <c r="W329" s="193"/>
      <c r="X329" s="732"/>
      <c r="Y329" s="732"/>
      <c r="Z329" s="193"/>
      <c r="AA329" s="193"/>
      <c r="AB329" s="795"/>
      <c r="AC329" s="195"/>
      <c r="AD329" s="195"/>
      <c r="AE329" s="195"/>
      <c r="AF329" s="195"/>
      <c r="AG329" s="195"/>
      <c r="AH329" s="195"/>
      <c r="AI329" s="203"/>
      <c r="AJ329" s="203"/>
      <c r="AK329" s="203"/>
      <c r="AL329" s="203"/>
      <c r="AM329" s="203"/>
      <c r="AN329" s="203"/>
      <c r="AO329" s="205"/>
      <c r="AP329" s="205"/>
      <c r="AQ329" s="205"/>
      <c r="AR329" s="205"/>
      <c r="AS329" s="205"/>
      <c r="AT329" s="209"/>
      <c r="AU329" s="209"/>
      <c r="AV329" s="203"/>
      <c r="AW329" s="251"/>
      <c r="AX329" s="251"/>
    </row>
    <row r="330" spans="2:53" s="76" customFormat="1" ht="63">
      <c r="B330" s="703">
        <f>B327+1</f>
        <v>226</v>
      </c>
      <c r="C330" s="197" t="s">
        <v>1080</v>
      </c>
      <c r="D330" s="198" t="s">
        <v>1176</v>
      </c>
      <c r="E330" s="703" t="s">
        <v>1067</v>
      </c>
      <c r="F330" s="703">
        <v>9</v>
      </c>
      <c r="G330" s="199">
        <v>5527</v>
      </c>
      <c r="H330" s="737">
        <v>0.1</v>
      </c>
      <c r="I330" s="703">
        <f>G330*H330</f>
        <v>552.70000000000005</v>
      </c>
      <c r="J330" s="741"/>
      <c r="K330" s="206"/>
      <c r="L330" s="206"/>
      <c r="M330" s="741"/>
      <c r="N330" s="206"/>
      <c r="O330" s="741"/>
      <c r="P330" s="206"/>
      <c r="Q330" s="206"/>
      <c r="R330" s="199">
        <f t="shared" ref="R330:R335" si="414">G330+I330+K330+L330+N330+P330+Q330</f>
        <v>6079.7</v>
      </c>
      <c r="S330" s="199">
        <v>1</v>
      </c>
      <c r="T330" s="206"/>
      <c r="U330" s="206"/>
      <c r="V330" s="741"/>
      <c r="W330" s="206"/>
      <c r="X330" s="718">
        <v>41</v>
      </c>
      <c r="Y330" s="737">
        <v>0.3</v>
      </c>
      <c r="Z330" s="199">
        <f t="shared" ref="Z330:Z335" si="415">R330*Y330</f>
        <v>1823.9099999999999</v>
      </c>
      <c r="AA330" s="199">
        <f t="shared" ref="AA330:AA335" si="416">AH330</f>
        <v>96.390000000000327</v>
      </c>
      <c r="AB330" s="796">
        <f t="shared" ref="AB330:AB335" si="417">(R330+Z330)*S330+AA330</f>
        <v>8000</v>
      </c>
      <c r="AC330" s="738">
        <f t="shared" ref="AC330:AC335" si="418">AF330</f>
        <v>5500</v>
      </c>
      <c r="AD330" s="738">
        <f t="shared" ref="AD330:AD335" si="419">AB330+AC330</f>
        <v>13500</v>
      </c>
      <c r="AE330" s="202">
        <f t="shared" ref="AE330:AE335" si="420">13500*S330</f>
        <v>13500</v>
      </c>
      <c r="AF330" s="202">
        <f t="shared" ref="AF330:AF335" si="421">AE330-AB330</f>
        <v>5500</v>
      </c>
      <c r="AG330" s="738">
        <f t="shared" ref="AG330:AG335" si="422">8000*S330</f>
        <v>8000</v>
      </c>
      <c r="AH330" s="202">
        <f t="shared" ref="AH330:AH335" si="423">AG330-(R330+Z330)*S330</f>
        <v>96.390000000000327</v>
      </c>
      <c r="AI330" s="203">
        <f t="shared" ref="AI330:AI335" si="424">G330*S330</f>
        <v>5527</v>
      </c>
      <c r="AJ330" s="203">
        <f t="shared" ref="AJ330:AJ335" si="425">G330*T330</f>
        <v>0</v>
      </c>
      <c r="AK330" s="203">
        <f t="shared" ref="AK330:AK335" si="426">R330*S330</f>
        <v>6079.7</v>
      </c>
      <c r="AL330" s="203">
        <f t="shared" ref="AL330:AL335" si="427">R330*T330</f>
        <v>0</v>
      </c>
      <c r="AM330" s="203">
        <f t="shared" ref="AM330:AN335" si="428">AK330-AI330</f>
        <v>552.69999999999982</v>
      </c>
      <c r="AN330" s="203">
        <f t="shared" si="428"/>
        <v>0</v>
      </c>
      <c r="AO330" s="205">
        <f t="shared" ref="AO330:AO335" si="429">Z330*S330</f>
        <v>1823.9099999999999</v>
      </c>
      <c r="AP330" s="205">
        <f t="shared" ref="AP330:AP335" si="430">Z330*T330</f>
        <v>0</v>
      </c>
      <c r="AQ330" s="205">
        <f t="shared" ref="AQ330:AQ335" si="431">AA330</f>
        <v>96.390000000000327</v>
      </c>
      <c r="AR330" s="205">
        <f t="shared" ref="AR330:AR335" si="432">W330*S330</f>
        <v>0</v>
      </c>
      <c r="AS330" s="205">
        <f t="shared" ref="AS330:AS335" si="433">W330*T330</f>
        <v>0</v>
      </c>
      <c r="AT330" s="209">
        <f t="shared" si="377"/>
        <v>6079.7</v>
      </c>
      <c r="AU330" s="209">
        <f t="shared" si="377"/>
        <v>0</v>
      </c>
      <c r="AV330" s="203"/>
      <c r="AW330" s="251">
        <f t="shared" ref="AW330:AW335" si="434">R330*S330</f>
        <v>6079.7</v>
      </c>
      <c r="AX330" s="251"/>
    </row>
    <row r="331" spans="2:53" s="76" customFormat="1" ht="63">
      <c r="B331" s="703">
        <f t="shared" si="373"/>
        <v>227</v>
      </c>
      <c r="C331" s="197" t="s">
        <v>1064</v>
      </c>
      <c r="D331" s="198" t="s">
        <v>1751</v>
      </c>
      <c r="E331" s="703" t="s">
        <v>1177</v>
      </c>
      <c r="F331" s="703">
        <v>6</v>
      </c>
      <c r="G331" s="199">
        <v>4633</v>
      </c>
      <c r="H331" s="736"/>
      <c r="I331" s="199"/>
      <c r="J331" s="736"/>
      <c r="K331" s="199"/>
      <c r="L331" s="199"/>
      <c r="M331" s="736"/>
      <c r="N331" s="199"/>
      <c r="O331" s="736"/>
      <c r="P331" s="199"/>
      <c r="Q331" s="199"/>
      <c r="R331" s="199">
        <f t="shared" si="414"/>
        <v>4633</v>
      </c>
      <c r="S331" s="199">
        <v>1</v>
      </c>
      <c r="T331" s="206"/>
      <c r="U331" s="206"/>
      <c r="V331" s="741"/>
      <c r="W331" s="206"/>
      <c r="X331" s="718">
        <v>27</v>
      </c>
      <c r="Y331" s="737">
        <v>0.3</v>
      </c>
      <c r="Z331" s="199">
        <f t="shared" si="415"/>
        <v>1389.8999999999999</v>
      </c>
      <c r="AA331" s="199">
        <f t="shared" si="416"/>
        <v>1977.1000000000004</v>
      </c>
      <c r="AB331" s="796">
        <f t="shared" si="417"/>
        <v>8000</v>
      </c>
      <c r="AC331" s="738">
        <f t="shared" si="418"/>
        <v>5500</v>
      </c>
      <c r="AD331" s="738">
        <f>AB331+AC331</f>
        <v>13500</v>
      </c>
      <c r="AE331" s="202">
        <f>13500*S331</f>
        <v>13500</v>
      </c>
      <c r="AF331" s="202">
        <f>AE331-AB331</f>
        <v>5500</v>
      </c>
      <c r="AG331" s="738">
        <f t="shared" si="422"/>
        <v>8000</v>
      </c>
      <c r="AH331" s="202">
        <f t="shared" si="423"/>
        <v>1977.1000000000004</v>
      </c>
      <c r="AI331" s="203">
        <f t="shared" si="424"/>
        <v>4633</v>
      </c>
      <c r="AJ331" s="203">
        <f t="shared" si="425"/>
        <v>0</v>
      </c>
      <c r="AK331" s="203">
        <f t="shared" si="426"/>
        <v>4633</v>
      </c>
      <c r="AL331" s="203">
        <f t="shared" si="427"/>
        <v>0</v>
      </c>
      <c r="AM331" s="203">
        <f t="shared" si="428"/>
        <v>0</v>
      </c>
      <c r="AN331" s="203">
        <f t="shared" si="428"/>
        <v>0</v>
      </c>
      <c r="AO331" s="205">
        <f t="shared" si="429"/>
        <v>1389.8999999999999</v>
      </c>
      <c r="AP331" s="205">
        <f t="shared" si="430"/>
        <v>0</v>
      </c>
      <c r="AQ331" s="205">
        <f t="shared" si="431"/>
        <v>1977.1000000000004</v>
      </c>
      <c r="AR331" s="205">
        <f t="shared" si="432"/>
        <v>0</v>
      </c>
      <c r="AS331" s="205">
        <f t="shared" si="433"/>
        <v>0</v>
      </c>
      <c r="AT331" s="209">
        <f t="shared" si="377"/>
        <v>4633</v>
      </c>
      <c r="AU331" s="209">
        <f t="shared" si="377"/>
        <v>0</v>
      </c>
      <c r="AV331" s="203"/>
      <c r="AW331" s="251">
        <f t="shared" si="434"/>
        <v>4633</v>
      </c>
      <c r="AX331" s="251"/>
    </row>
    <row r="332" spans="2:53" s="76" customFormat="1" ht="63">
      <c r="B332" s="703">
        <f t="shared" si="373"/>
        <v>228</v>
      </c>
      <c r="C332" s="197" t="s">
        <v>1064</v>
      </c>
      <c r="D332" s="198" t="s">
        <v>1135</v>
      </c>
      <c r="E332" s="703" t="s">
        <v>1136</v>
      </c>
      <c r="F332" s="703">
        <v>9</v>
      </c>
      <c r="G332" s="199">
        <v>5527</v>
      </c>
      <c r="H332" s="736"/>
      <c r="I332" s="199"/>
      <c r="J332" s="736"/>
      <c r="K332" s="199"/>
      <c r="L332" s="199"/>
      <c r="M332" s="736"/>
      <c r="N332" s="199"/>
      <c r="O332" s="736"/>
      <c r="P332" s="199"/>
      <c r="Q332" s="199"/>
      <c r="R332" s="199">
        <f t="shared" si="414"/>
        <v>5527</v>
      </c>
      <c r="S332" s="199">
        <v>1</v>
      </c>
      <c r="T332" s="199"/>
      <c r="U332" s="206"/>
      <c r="V332" s="741"/>
      <c r="W332" s="206"/>
      <c r="X332" s="718">
        <v>34</v>
      </c>
      <c r="Y332" s="737">
        <v>0.3</v>
      </c>
      <c r="Z332" s="199">
        <f t="shared" si="415"/>
        <v>1658.1</v>
      </c>
      <c r="AA332" s="199">
        <f t="shared" si="416"/>
        <v>814.89999999999964</v>
      </c>
      <c r="AB332" s="796">
        <f t="shared" si="417"/>
        <v>8000</v>
      </c>
      <c r="AC332" s="738">
        <f t="shared" si="418"/>
        <v>5500</v>
      </c>
      <c r="AD332" s="738">
        <f>AB332+AC332</f>
        <v>13500</v>
      </c>
      <c r="AE332" s="202">
        <f>13500*S332</f>
        <v>13500</v>
      </c>
      <c r="AF332" s="202">
        <f>AE332-AB332</f>
        <v>5500</v>
      </c>
      <c r="AG332" s="738">
        <f t="shared" si="422"/>
        <v>8000</v>
      </c>
      <c r="AH332" s="202">
        <f t="shared" si="423"/>
        <v>814.89999999999964</v>
      </c>
      <c r="AI332" s="203">
        <f t="shared" si="424"/>
        <v>5527</v>
      </c>
      <c r="AJ332" s="203">
        <f t="shared" si="425"/>
        <v>0</v>
      </c>
      <c r="AK332" s="203">
        <f t="shared" si="426"/>
        <v>5527</v>
      </c>
      <c r="AL332" s="203">
        <f t="shared" si="427"/>
        <v>0</v>
      </c>
      <c r="AM332" s="203">
        <f t="shared" si="428"/>
        <v>0</v>
      </c>
      <c r="AN332" s="203">
        <f t="shared" si="428"/>
        <v>0</v>
      </c>
      <c r="AO332" s="205">
        <f t="shared" si="429"/>
        <v>1658.1</v>
      </c>
      <c r="AP332" s="205">
        <f t="shared" si="430"/>
        <v>0</v>
      </c>
      <c r="AQ332" s="205">
        <f t="shared" si="431"/>
        <v>814.89999999999964</v>
      </c>
      <c r="AR332" s="205">
        <f t="shared" si="432"/>
        <v>0</v>
      </c>
      <c r="AS332" s="205">
        <f t="shared" si="433"/>
        <v>0</v>
      </c>
      <c r="AT332" s="209">
        <f t="shared" si="377"/>
        <v>5527</v>
      </c>
      <c r="AU332" s="209">
        <f t="shared" si="377"/>
        <v>0</v>
      </c>
      <c r="AV332" s="203"/>
      <c r="AW332" s="251">
        <f t="shared" si="434"/>
        <v>5527</v>
      </c>
      <c r="AX332" s="251"/>
    </row>
    <row r="333" spans="2:53" s="76" customFormat="1" ht="63">
      <c r="B333" s="703">
        <f t="shared" si="373"/>
        <v>229</v>
      </c>
      <c r="C333" s="197" t="s">
        <v>1064</v>
      </c>
      <c r="D333" s="198" t="s">
        <v>1751</v>
      </c>
      <c r="E333" s="703" t="s">
        <v>1065</v>
      </c>
      <c r="F333" s="703">
        <v>6</v>
      </c>
      <c r="G333" s="199">
        <v>4633</v>
      </c>
      <c r="H333" s="736"/>
      <c r="I333" s="199"/>
      <c r="J333" s="736"/>
      <c r="K333" s="199"/>
      <c r="L333" s="199"/>
      <c r="M333" s="736"/>
      <c r="N333" s="199"/>
      <c r="O333" s="736"/>
      <c r="P333" s="199"/>
      <c r="Q333" s="199"/>
      <c r="R333" s="199">
        <f t="shared" si="414"/>
        <v>4633</v>
      </c>
      <c r="S333" s="199">
        <v>1</v>
      </c>
      <c r="T333" s="206"/>
      <c r="U333" s="206"/>
      <c r="V333" s="741"/>
      <c r="W333" s="206"/>
      <c r="X333" s="718">
        <v>4</v>
      </c>
      <c r="Y333" s="737">
        <v>0.1</v>
      </c>
      <c r="Z333" s="199">
        <f t="shared" si="415"/>
        <v>463.3</v>
      </c>
      <c r="AA333" s="199">
        <f t="shared" si="416"/>
        <v>2903.7</v>
      </c>
      <c r="AB333" s="796">
        <f t="shared" si="417"/>
        <v>8000</v>
      </c>
      <c r="AC333" s="738">
        <f t="shared" si="418"/>
        <v>5500</v>
      </c>
      <c r="AD333" s="738">
        <f t="shared" si="419"/>
        <v>13500</v>
      </c>
      <c r="AE333" s="202">
        <f t="shared" si="420"/>
        <v>13500</v>
      </c>
      <c r="AF333" s="202">
        <f t="shared" si="421"/>
        <v>5500</v>
      </c>
      <c r="AG333" s="738">
        <f t="shared" si="422"/>
        <v>8000</v>
      </c>
      <c r="AH333" s="202">
        <f t="shared" si="423"/>
        <v>2903.7</v>
      </c>
      <c r="AI333" s="203">
        <f t="shared" si="424"/>
        <v>4633</v>
      </c>
      <c r="AJ333" s="203">
        <f t="shared" si="425"/>
        <v>0</v>
      </c>
      <c r="AK333" s="203">
        <f t="shared" si="426"/>
        <v>4633</v>
      </c>
      <c r="AL333" s="203">
        <f t="shared" si="427"/>
        <v>0</v>
      </c>
      <c r="AM333" s="203">
        <f t="shared" si="428"/>
        <v>0</v>
      </c>
      <c r="AN333" s="203">
        <f t="shared" si="428"/>
        <v>0</v>
      </c>
      <c r="AO333" s="205">
        <f t="shared" si="429"/>
        <v>463.3</v>
      </c>
      <c r="AP333" s="205">
        <f t="shared" si="430"/>
        <v>0</v>
      </c>
      <c r="AQ333" s="205">
        <f t="shared" si="431"/>
        <v>2903.7</v>
      </c>
      <c r="AR333" s="205">
        <f t="shared" si="432"/>
        <v>0</v>
      </c>
      <c r="AS333" s="205">
        <f t="shared" si="433"/>
        <v>0</v>
      </c>
      <c r="AT333" s="209">
        <f t="shared" si="377"/>
        <v>4633</v>
      </c>
      <c r="AU333" s="209">
        <f t="shared" si="377"/>
        <v>0</v>
      </c>
      <c r="AV333" s="203"/>
      <c r="AW333" s="251">
        <f t="shared" si="434"/>
        <v>4633</v>
      </c>
      <c r="AX333" s="251"/>
    </row>
    <row r="334" spans="2:53" s="76" customFormat="1" ht="63">
      <c r="B334" s="703">
        <f t="shared" si="373"/>
        <v>230</v>
      </c>
      <c r="C334" s="197" t="s">
        <v>1064</v>
      </c>
      <c r="D334" s="198" t="s">
        <v>1812</v>
      </c>
      <c r="E334" s="703" t="s">
        <v>1178</v>
      </c>
      <c r="F334" s="703">
        <v>9</v>
      </c>
      <c r="G334" s="199">
        <v>5527</v>
      </c>
      <c r="H334" s="736"/>
      <c r="I334" s="199"/>
      <c r="J334" s="736"/>
      <c r="K334" s="199"/>
      <c r="L334" s="199"/>
      <c r="M334" s="736"/>
      <c r="N334" s="199"/>
      <c r="O334" s="736"/>
      <c r="P334" s="199"/>
      <c r="Q334" s="199"/>
      <c r="R334" s="199">
        <f t="shared" si="414"/>
        <v>5527</v>
      </c>
      <c r="S334" s="199">
        <v>1</v>
      </c>
      <c r="T334" s="199"/>
      <c r="U334" s="199"/>
      <c r="V334" s="736"/>
      <c r="W334" s="199"/>
      <c r="X334" s="718">
        <v>37</v>
      </c>
      <c r="Y334" s="737">
        <v>0.3</v>
      </c>
      <c r="Z334" s="199">
        <f t="shared" si="415"/>
        <v>1658.1</v>
      </c>
      <c r="AA334" s="199">
        <f t="shared" si="416"/>
        <v>814.89999999999964</v>
      </c>
      <c r="AB334" s="796">
        <f t="shared" si="417"/>
        <v>8000</v>
      </c>
      <c r="AC334" s="738">
        <f t="shared" si="418"/>
        <v>5500</v>
      </c>
      <c r="AD334" s="738">
        <f t="shared" si="419"/>
        <v>13500</v>
      </c>
      <c r="AE334" s="202">
        <f t="shared" si="420"/>
        <v>13500</v>
      </c>
      <c r="AF334" s="202">
        <f t="shared" si="421"/>
        <v>5500</v>
      </c>
      <c r="AG334" s="738">
        <f t="shared" si="422"/>
        <v>8000</v>
      </c>
      <c r="AH334" s="202">
        <f t="shared" si="423"/>
        <v>814.89999999999964</v>
      </c>
      <c r="AI334" s="203">
        <f t="shared" si="424"/>
        <v>5527</v>
      </c>
      <c r="AJ334" s="203">
        <f t="shared" si="425"/>
        <v>0</v>
      </c>
      <c r="AK334" s="203">
        <f t="shared" si="426"/>
        <v>5527</v>
      </c>
      <c r="AL334" s="203">
        <f t="shared" si="427"/>
        <v>0</v>
      </c>
      <c r="AM334" s="203">
        <f t="shared" si="428"/>
        <v>0</v>
      </c>
      <c r="AN334" s="203">
        <f t="shared" si="428"/>
        <v>0</v>
      </c>
      <c r="AO334" s="205">
        <f t="shared" si="429"/>
        <v>1658.1</v>
      </c>
      <c r="AP334" s="205">
        <f t="shared" si="430"/>
        <v>0</v>
      </c>
      <c r="AQ334" s="205">
        <f t="shared" si="431"/>
        <v>814.89999999999964</v>
      </c>
      <c r="AR334" s="205">
        <f t="shared" si="432"/>
        <v>0</v>
      </c>
      <c r="AS334" s="205">
        <f t="shared" si="433"/>
        <v>0</v>
      </c>
      <c r="AT334" s="209">
        <f t="shared" si="377"/>
        <v>5527</v>
      </c>
      <c r="AU334" s="209">
        <f t="shared" si="377"/>
        <v>0</v>
      </c>
      <c r="AV334" s="203"/>
      <c r="AW334" s="251">
        <f t="shared" si="434"/>
        <v>5527</v>
      </c>
      <c r="AX334" s="251"/>
    </row>
    <row r="335" spans="2:53" s="76" customFormat="1" ht="63">
      <c r="B335" s="703">
        <f t="shared" si="373"/>
        <v>231</v>
      </c>
      <c r="C335" s="197" t="s">
        <v>1064</v>
      </c>
      <c r="D335" s="198" t="s">
        <v>1071</v>
      </c>
      <c r="E335" s="703" t="s">
        <v>1179</v>
      </c>
      <c r="F335" s="703">
        <v>9</v>
      </c>
      <c r="G335" s="199">
        <v>5527</v>
      </c>
      <c r="H335" s="736"/>
      <c r="I335" s="199"/>
      <c r="J335" s="736"/>
      <c r="K335" s="199"/>
      <c r="L335" s="199"/>
      <c r="M335" s="736"/>
      <c r="N335" s="199"/>
      <c r="O335" s="736"/>
      <c r="P335" s="206"/>
      <c r="Q335" s="206"/>
      <c r="R335" s="199">
        <f t="shared" si="414"/>
        <v>5527</v>
      </c>
      <c r="S335" s="199">
        <v>1</v>
      </c>
      <c r="T335" s="199"/>
      <c r="U335" s="206"/>
      <c r="V335" s="741"/>
      <c r="W335" s="206"/>
      <c r="X335" s="718">
        <v>37</v>
      </c>
      <c r="Y335" s="737">
        <v>0.3</v>
      </c>
      <c r="Z335" s="199">
        <f t="shared" si="415"/>
        <v>1658.1</v>
      </c>
      <c r="AA335" s="199">
        <f t="shared" si="416"/>
        <v>814.89999999999964</v>
      </c>
      <c r="AB335" s="796">
        <f t="shared" si="417"/>
        <v>8000</v>
      </c>
      <c r="AC335" s="738">
        <f t="shared" si="418"/>
        <v>5500</v>
      </c>
      <c r="AD335" s="738">
        <f t="shared" si="419"/>
        <v>13500</v>
      </c>
      <c r="AE335" s="202">
        <f t="shared" si="420"/>
        <v>13500</v>
      </c>
      <c r="AF335" s="202">
        <f t="shared" si="421"/>
        <v>5500</v>
      </c>
      <c r="AG335" s="738">
        <f t="shared" si="422"/>
        <v>8000</v>
      </c>
      <c r="AH335" s="202">
        <f t="shared" si="423"/>
        <v>814.89999999999964</v>
      </c>
      <c r="AI335" s="203">
        <f t="shared" si="424"/>
        <v>5527</v>
      </c>
      <c r="AJ335" s="203">
        <f t="shared" si="425"/>
        <v>0</v>
      </c>
      <c r="AK335" s="203">
        <f t="shared" si="426"/>
        <v>5527</v>
      </c>
      <c r="AL335" s="203">
        <f t="shared" si="427"/>
        <v>0</v>
      </c>
      <c r="AM335" s="203">
        <f t="shared" si="428"/>
        <v>0</v>
      </c>
      <c r="AN335" s="203">
        <f t="shared" si="428"/>
        <v>0</v>
      </c>
      <c r="AO335" s="205">
        <f t="shared" si="429"/>
        <v>1658.1</v>
      </c>
      <c r="AP335" s="205">
        <f t="shared" si="430"/>
        <v>0</v>
      </c>
      <c r="AQ335" s="205">
        <f t="shared" si="431"/>
        <v>814.89999999999964</v>
      </c>
      <c r="AR335" s="205">
        <f t="shared" si="432"/>
        <v>0</v>
      </c>
      <c r="AS335" s="205">
        <f t="shared" si="433"/>
        <v>0</v>
      </c>
      <c r="AT335" s="209">
        <f t="shared" si="377"/>
        <v>5527</v>
      </c>
      <c r="AU335" s="209">
        <f t="shared" si="377"/>
        <v>0</v>
      </c>
      <c r="AV335" s="203"/>
      <c r="AW335" s="251">
        <f t="shared" si="434"/>
        <v>5527</v>
      </c>
      <c r="AX335" s="251"/>
    </row>
    <row r="336" spans="2:53" s="76" customFormat="1" ht="31.5">
      <c r="B336" s="703"/>
      <c r="C336" s="180" t="s">
        <v>1736</v>
      </c>
      <c r="D336" s="207"/>
      <c r="E336" s="193"/>
      <c r="F336" s="193"/>
      <c r="G336" s="183">
        <f>SUM(G330:G335)</f>
        <v>31374</v>
      </c>
      <c r="H336" s="752"/>
      <c r="I336" s="183">
        <f>SUM(I330:I335)</f>
        <v>552.70000000000005</v>
      </c>
      <c r="J336" s="731"/>
      <c r="K336" s="193"/>
      <c r="L336" s="193"/>
      <c r="M336" s="731"/>
      <c r="N336" s="193"/>
      <c r="O336" s="731"/>
      <c r="P336" s="193"/>
      <c r="Q336" s="193"/>
      <c r="R336" s="183">
        <f>SUM(R330:R335)</f>
        <v>31926.7</v>
      </c>
      <c r="S336" s="183">
        <f>SUM(S330:S335)</f>
        <v>6</v>
      </c>
      <c r="T336" s="183">
        <f>SUM(T330:T335)</f>
        <v>0</v>
      </c>
      <c r="U336" s="183"/>
      <c r="V336" s="742"/>
      <c r="W336" s="183"/>
      <c r="X336" s="742"/>
      <c r="Y336" s="742"/>
      <c r="Z336" s="183">
        <f>SUM(Z330:Z335)</f>
        <v>8651.41</v>
      </c>
      <c r="AA336" s="183">
        <f>SUM(AA330:AA335)</f>
        <v>7421.8899999999994</v>
      </c>
      <c r="AB336" s="797">
        <f>SUM(AB330:AB335)</f>
        <v>48000</v>
      </c>
      <c r="AC336" s="183">
        <f t="shared" ref="AC336:AV336" si="435">SUM(AC330:AC335)</f>
        <v>33000</v>
      </c>
      <c r="AD336" s="183">
        <f>SUM(AD330:AD335)</f>
        <v>81000</v>
      </c>
      <c r="AE336" s="183">
        <f t="shared" si="435"/>
        <v>81000</v>
      </c>
      <c r="AF336" s="183">
        <f t="shared" si="435"/>
        <v>33000</v>
      </c>
      <c r="AG336" s="183">
        <f t="shared" si="435"/>
        <v>48000</v>
      </c>
      <c r="AH336" s="183">
        <f t="shared" si="435"/>
        <v>7421.8899999999994</v>
      </c>
      <c r="AI336" s="183">
        <f t="shared" si="435"/>
        <v>31374</v>
      </c>
      <c r="AJ336" s="183">
        <f t="shared" si="435"/>
        <v>0</v>
      </c>
      <c r="AK336" s="183">
        <f t="shared" si="435"/>
        <v>31926.7</v>
      </c>
      <c r="AL336" s="183">
        <f t="shared" si="435"/>
        <v>0</v>
      </c>
      <c r="AM336" s="183">
        <f t="shared" si="435"/>
        <v>552.69999999999982</v>
      </c>
      <c r="AN336" s="183">
        <f t="shared" si="435"/>
        <v>0</v>
      </c>
      <c r="AO336" s="183">
        <f t="shared" si="435"/>
        <v>8651.41</v>
      </c>
      <c r="AP336" s="183">
        <f t="shared" si="435"/>
        <v>0</v>
      </c>
      <c r="AQ336" s="183">
        <f t="shared" si="435"/>
        <v>7421.8899999999994</v>
      </c>
      <c r="AR336" s="183">
        <f t="shared" si="435"/>
        <v>0</v>
      </c>
      <c r="AS336" s="183">
        <f t="shared" si="435"/>
        <v>0</v>
      </c>
      <c r="AT336" s="183">
        <f t="shared" si="435"/>
        <v>31926.7</v>
      </c>
      <c r="AU336" s="183">
        <f t="shared" si="435"/>
        <v>0</v>
      </c>
      <c r="AV336" s="183">
        <f t="shared" si="435"/>
        <v>0</v>
      </c>
      <c r="AW336" s="183">
        <f>SUM(AW330:AW335)</f>
        <v>31926.7</v>
      </c>
      <c r="AX336" s="183">
        <f>SUM(AX330:AX335)</f>
        <v>0</v>
      </c>
    </row>
    <row r="337" spans="2:53" s="76" customFormat="1" ht="33">
      <c r="B337" s="703"/>
      <c r="C337" s="220" t="s">
        <v>1874</v>
      </c>
      <c r="D337" s="207"/>
      <c r="E337" s="193"/>
      <c r="F337" s="193"/>
      <c r="G337" s="183"/>
      <c r="H337" s="752"/>
      <c r="I337" s="183"/>
      <c r="J337" s="731"/>
      <c r="K337" s="193"/>
      <c r="L337" s="193"/>
      <c r="M337" s="731"/>
      <c r="N337" s="193"/>
      <c r="O337" s="731"/>
      <c r="P337" s="193"/>
      <c r="Q337" s="193"/>
      <c r="R337" s="183"/>
      <c r="S337" s="183"/>
      <c r="T337" s="183"/>
      <c r="U337" s="183"/>
      <c r="V337" s="742"/>
      <c r="W337" s="183"/>
      <c r="X337" s="742"/>
      <c r="Y337" s="742"/>
      <c r="Z337" s="183"/>
      <c r="AA337" s="183"/>
      <c r="AB337" s="797"/>
      <c r="AC337" s="208"/>
      <c r="AD337" s="208"/>
      <c r="AE337" s="208"/>
      <c r="AF337" s="208"/>
      <c r="AG337" s="208"/>
      <c r="AH337" s="208"/>
      <c r="AI337" s="203"/>
      <c r="AJ337" s="203"/>
      <c r="AK337" s="203"/>
      <c r="AL337" s="203"/>
      <c r="AM337" s="203"/>
      <c r="AN337" s="203"/>
      <c r="AO337" s="205"/>
      <c r="AP337" s="205"/>
      <c r="AQ337" s="205"/>
      <c r="AR337" s="205"/>
      <c r="AS337" s="205"/>
      <c r="AT337" s="209"/>
      <c r="AU337" s="209"/>
      <c r="AV337" s="203"/>
      <c r="AW337" s="251"/>
      <c r="AX337" s="251"/>
    </row>
    <row r="338" spans="2:53" s="76" customFormat="1" ht="63">
      <c r="B338" s="703">
        <f>B335+1</f>
        <v>232</v>
      </c>
      <c r="C338" s="197" t="s">
        <v>1213</v>
      </c>
      <c r="D338" s="198"/>
      <c r="E338" s="703" t="s">
        <v>1215</v>
      </c>
      <c r="F338" s="703">
        <v>3</v>
      </c>
      <c r="G338" s="199">
        <v>3770</v>
      </c>
      <c r="H338" s="736"/>
      <c r="I338" s="199"/>
      <c r="J338" s="741"/>
      <c r="K338" s="206"/>
      <c r="L338" s="206"/>
      <c r="M338" s="741"/>
      <c r="N338" s="206"/>
      <c r="O338" s="741"/>
      <c r="P338" s="206"/>
      <c r="Q338" s="206"/>
      <c r="R338" s="199">
        <f>G338+I338+K338+L338+N338+P338+Q338</f>
        <v>3770</v>
      </c>
      <c r="S338" s="199">
        <v>1</v>
      </c>
      <c r="T338" s="206"/>
      <c r="U338" s="206"/>
      <c r="V338" s="737">
        <v>0.1</v>
      </c>
      <c r="W338" s="199">
        <f>R338*V338</f>
        <v>377</v>
      </c>
      <c r="X338" s="718"/>
      <c r="Y338" s="737"/>
      <c r="Z338" s="199"/>
      <c r="AA338" s="199">
        <f>AH338</f>
        <v>4230</v>
      </c>
      <c r="AB338" s="796">
        <f>(R338+Z338+U338+W338)*S338+AA338</f>
        <v>8377</v>
      </c>
      <c r="AC338" s="738">
        <f>AF338</f>
        <v>0</v>
      </c>
      <c r="AD338" s="738">
        <f>AB338+AC338</f>
        <v>8377</v>
      </c>
      <c r="AE338" s="202">
        <f>AB338</f>
        <v>8377</v>
      </c>
      <c r="AF338" s="202">
        <f>AE338-AB338</f>
        <v>0</v>
      </c>
      <c r="AG338" s="738">
        <f>8000*S338</f>
        <v>8000</v>
      </c>
      <c r="AH338" s="202">
        <f>AG338-(R338*S338)</f>
        <v>4230</v>
      </c>
      <c r="AI338" s="203">
        <f>G338*S338</f>
        <v>3770</v>
      </c>
      <c r="AJ338" s="203">
        <f>G338*T338</f>
        <v>0</v>
      </c>
      <c r="AK338" s="203">
        <f>R338*S338</f>
        <v>3770</v>
      </c>
      <c r="AL338" s="203">
        <f>R338*T338</f>
        <v>0</v>
      </c>
      <c r="AM338" s="203">
        <f t="shared" ref="AM338:AN342" si="436">AK338-AI338</f>
        <v>0</v>
      </c>
      <c r="AN338" s="203">
        <f t="shared" si="436"/>
        <v>0</v>
      </c>
      <c r="AO338" s="205">
        <f>Z338*S338</f>
        <v>0</v>
      </c>
      <c r="AP338" s="205">
        <f>Z338*T338</f>
        <v>0</v>
      </c>
      <c r="AQ338" s="205">
        <f>AA338</f>
        <v>4230</v>
      </c>
      <c r="AR338" s="205">
        <f>W338*S338</f>
        <v>377</v>
      </c>
      <c r="AS338" s="205">
        <f>W338*T338</f>
        <v>0</v>
      </c>
      <c r="AT338" s="209">
        <f t="shared" si="377"/>
        <v>3770</v>
      </c>
      <c r="AU338" s="209">
        <f t="shared" si="377"/>
        <v>0</v>
      </c>
      <c r="AV338" s="203"/>
      <c r="AW338" s="251">
        <f>R338*S338</f>
        <v>3770</v>
      </c>
      <c r="AX338" s="251"/>
    </row>
    <row r="339" spans="2:53" s="76" customFormat="1" ht="63">
      <c r="B339" s="703">
        <f t="shared" si="373"/>
        <v>233</v>
      </c>
      <c r="C339" s="197" t="s">
        <v>1213</v>
      </c>
      <c r="D339" s="198"/>
      <c r="E339" s="703" t="s">
        <v>1216</v>
      </c>
      <c r="F339" s="703">
        <v>3</v>
      </c>
      <c r="G339" s="199">
        <v>3770</v>
      </c>
      <c r="H339" s="736"/>
      <c r="I339" s="199"/>
      <c r="J339" s="736"/>
      <c r="K339" s="199"/>
      <c r="L339" s="199"/>
      <c r="M339" s="736"/>
      <c r="N339" s="199"/>
      <c r="O339" s="736"/>
      <c r="P339" s="199"/>
      <c r="Q339" s="199"/>
      <c r="R339" s="199">
        <f>G339+I339+K339+L339+N339+P339+Q339</f>
        <v>3770</v>
      </c>
      <c r="S339" s="199">
        <v>1</v>
      </c>
      <c r="T339" s="206"/>
      <c r="U339" s="206"/>
      <c r="V339" s="737">
        <v>0.1</v>
      </c>
      <c r="W339" s="199">
        <f>R339*V339</f>
        <v>377</v>
      </c>
      <c r="X339" s="718"/>
      <c r="Y339" s="737"/>
      <c r="Z339" s="199"/>
      <c r="AA339" s="199">
        <f>AH339</f>
        <v>4230</v>
      </c>
      <c r="AB339" s="796">
        <f>(R339+Z339+U339+W339)*S339+AA339</f>
        <v>8377</v>
      </c>
      <c r="AC339" s="738">
        <f>AF339</f>
        <v>0</v>
      </c>
      <c r="AD339" s="738">
        <f>AB339+AC339</f>
        <v>8377</v>
      </c>
      <c r="AE339" s="202">
        <f>AB339</f>
        <v>8377</v>
      </c>
      <c r="AF339" s="202">
        <f>AE339-AB339</f>
        <v>0</v>
      </c>
      <c r="AG339" s="738">
        <f>8000*S339</f>
        <v>8000</v>
      </c>
      <c r="AH339" s="202">
        <f>AG339-(R339*S339)</f>
        <v>4230</v>
      </c>
      <c r="AI339" s="203">
        <f>G339*S339</f>
        <v>3770</v>
      </c>
      <c r="AJ339" s="203">
        <f>G339*T339</f>
        <v>0</v>
      </c>
      <c r="AK339" s="203">
        <f>R339*S339</f>
        <v>3770</v>
      </c>
      <c r="AL339" s="203">
        <f>R339*T339</f>
        <v>0</v>
      </c>
      <c r="AM339" s="203">
        <f t="shared" si="436"/>
        <v>0</v>
      </c>
      <c r="AN339" s="203">
        <f t="shared" si="436"/>
        <v>0</v>
      </c>
      <c r="AO339" s="205">
        <f>Z339*S339</f>
        <v>0</v>
      </c>
      <c r="AP339" s="205">
        <f>Z339*T339</f>
        <v>0</v>
      </c>
      <c r="AQ339" s="205">
        <f>AA339</f>
        <v>4230</v>
      </c>
      <c r="AR339" s="205">
        <f>W339*S339</f>
        <v>377</v>
      </c>
      <c r="AS339" s="205">
        <f>W339*T339</f>
        <v>0</v>
      </c>
      <c r="AT339" s="209">
        <f t="shared" si="377"/>
        <v>3770</v>
      </c>
      <c r="AU339" s="209">
        <f t="shared" si="377"/>
        <v>0</v>
      </c>
      <c r="AV339" s="203"/>
      <c r="AW339" s="251">
        <f>R339*S339</f>
        <v>3770</v>
      </c>
      <c r="AX339" s="251"/>
    </row>
    <row r="340" spans="2:53" s="76" customFormat="1" ht="63">
      <c r="B340" s="703">
        <f t="shared" si="373"/>
        <v>234</v>
      </c>
      <c r="C340" s="197" t="s">
        <v>1213</v>
      </c>
      <c r="D340" s="198"/>
      <c r="E340" s="703" t="s">
        <v>1217</v>
      </c>
      <c r="F340" s="703">
        <v>3</v>
      </c>
      <c r="G340" s="199">
        <v>3770</v>
      </c>
      <c r="H340" s="736"/>
      <c r="I340" s="199"/>
      <c r="J340" s="736"/>
      <c r="K340" s="199"/>
      <c r="L340" s="199"/>
      <c r="M340" s="736"/>
      <c r="N340" s="199"/>
      <c r="O340" s="736"/>
      <c r="P340" s="199"/>
      <c r="Q340" s="199"/>
      <c r="R340" s="199">
        <f>G340+I340+K340+L340+N340+P340+Q340</f>
        <v>3770</v>
      </c>
      <c r="S340" s="199">
        <v>1</v>
      </c>
      <c r="T340" s="199"/>
      <c r="U340" s="199"/>
      <c r="V340" s="737">
        <v>0.1</v>
      </c>
      <c r="W340" s="199">
        <f>R340*V340</f>
        <v>377</v>
      </c>
      <c r="X340" s="718"/>
      <c r="Y340" s="737"/>
      <c r="Z340" s="199"/>
      <c r="AA340" s="199">
        <f>AH340</f>
        <v>4230</v>
      </c>
      <c r="AB340" s="796">
        <f>(R340+Z340+U340+W340)*S340+AA340</f>
        <v>8377</v>
      </c>
      <c r="AC340" s="738">
        <f>AF340</f>
        <v>0</v>
      </c>
      <c r="AD340" s="738">
        <f>AB340+AC340</f>
        <v>8377</v>
      </c>
      <c r="AE340" s="202">
        <f>AB340</f>
        <v>8377</v>
      </c>
      <c r="AF340" s="202">
        <f>AE340-AB340</f>
        <v>0</v>
      </c>
      <c r="AG340" s="738">
        <f>8000*S340</f>
        <v>8000</v>
      </c>
      <c r="AH340" s="202">
        <f>AG340-(R340*S340)</f>
        <v>4230</v>
      </c>
      <c r="AI340" s="203">
        <f>G340*S340</f>
        <v>3770</v>
      </c>
      <c r="AJ340" s="203">
        <f>G340*T340</f>
        <v>0</v>
      </c>
      <c r="AK340" s="203">
        <f>R340*S340</f>
        <v>3770</v>
      </c>
      <c r="AL340" s="203">
        <f>R340*T340</f>
        <v>0</v>
      </c>
      <c r="AM340" s="203">
        <f t="shared" si="436"/>
        <v>0</v>
      </c>
      <c r="AN340" s="203">
        <f t="shared" si="436"/>
        <v>0</v>
      </c>
      <c r="AO340" s="205">
        <f>Z340*S340</f>
        <v>0</v>
      </c>
      <c r="AP340" s="205">
        <f>Z340*T340</f>
        <v>0</v>
      </c>
      <c r="AQ340" s="205">
        <f>AA340</f>
        <v>4230</v>
      </c>
      <c r="AR340" s="205">
        <f>W340*S340</f>
        <v>377</v>
      </c>
      <c r="AS340" s="205">
        <f>W340*T340</f>
        <v>0</v>
      </c>
      <c r="AT340" s="209">
        <f t="shared" si="377"/>
        <v>3770</v>
      </c>
      <c r="AU340" s="209">
        <f t="shared" si="377"/>
        <v>0</v>
      </c>
      <c r="AV340" s="203"/>
      <c r="AW340" s="251">
        <f>R340*S340</f>
        <v>3770</v>
      </c>
      <c r="AX340" s="251"/>
    </row>
    <row r="341" spans="2:53" s="76" customFormat="1" ht="63">
      <c r="B341" s="703">
        <f>1+B340</f>
        <v>235</v>
      </c>
      <c r="C341" s="197" t="s">
        <v>1213</v>
      </c>
      <c r="D341" s="198"/>
      <c r="E341" s="703" t="s">
        <v>1218</v>
      </c>
      <c r="F341" s="703">
        <v>3</v>
      </c>
      <c r="G341" s="199">
        <v>3770</v>
      </c>
      <c r="H341" s="736"/>
      <c r="I341" s="199"/>
      <c r="J341" s="736"/>
      <c r="K341" s="199"/>
      <c r="L341" s="199"/>
      <c r="M341" s="736"/>
      <c r="N341" s="199"/>
      <c r="O341" s="736"/>
      <c r="P341" s="199"/>
      <c r="Q341" s="199"/>
      <c r="R341" s="199">
        <f>G341+I341+K341+L341+N341+P341+Q341</f>
        <v>3770</v>
      </c>
      <c r="S341" s="199">
        <v>1</v>
      </c>
      <c r="T341" s="199"/>
      <c r="U341" s="199"/>
      <c r="V341" s="737">
        <v>0.1</v>
      </c>
      <c r="W341" s="199">
        <f>R341*V341</f>
        <v>377</v>
      </c>
      <c r="X341" s="718"/>
      <c r="Y341" s="737"/>
      <c r="Z341" s="199"/>
      <c r="AA341" s="199">
        <f>AH341</f>
        <v>4230</v>
      </c>
      <c r="AB341" s="796">
        <f>(R341+Z341+U341+W341)*S341+AA341</f>
        <v>8377</v>
      </c>
      <c r="AC341" s="738">
        <f>AF341</f>
        <v>0</v>
      </c>
      <c r="AD341" s="738">
        <f>AB341+AC341</f>
        <v>8377</v>
      </c>
      <c r="AE341" s="202">
        <f>AB341</f>
        <v>8377</v>
      </c>
      <c r="AF341" s="202">
        <f>AE341-AB341</f>
        <v>0</v>
      </c>
      <c r="AG341" s="738">
        <f>8000*S341</f>
        <v>8000</v>
      </c>
      <c r="AH341" s="202">
        <f>AG341-(R341*S341)</f>
        <v>4230</v>
      </c>
      <c r="AI341" s="203">
        <f>G341*S341</f>
        <v>3770</v>
      </c>
      <c r="AJ341" s="203">
        <f>G341*T341</f>
        <v>0</v>
      </c>
      <c r="AK341" s="203">
        <f>R341*S341</f>
        <v>3770</v>
      </c>
      <c r="AL341" s="203">
        <f>R341*T341</f>
        <v>0</v>
      </c>
      <c r="AM341" s="203">
        <f t="shared" si="436"/>
        <v>0</v>
      </c>
      <c r="AN341" s="203">
        <f t="shared" si="436"/>
        <v>0</v>
      </c>
      <c r="AO341" s="205">
        <f>Z341*S341</f>
        <v>0</v>
      </c>
      <c r="AP341" s="205">
        <f>Z341*T341</f>
        <v>0</v>
      </c>
      <c r="AQ341" s="205">
        <f>AA341</f>
        <v>4230</v>
      </c>
      <c r="AR341" s="205">
        <f>W341*S341</f>
        <v>377</v>
      </c>
      <c r="AS341" s="205">
        <f>W341*T341</f>
        <v>0</v>
      </c>
      <c r="AT341" s="209">
        <f t="shared" si="377"/>
        <v>3770</v>
      </c>
      <c r="AU341" s="209">
        <f t="shared" si="377"/>
        <v>0</v>
      </c>
      <c r="AV341" s="203"/>
      <c r="AW341" s="251">
        <f>R341*S341</f>
        <v>3770</v>
      </c>
      <c r="AX341" s="251"/>
    </row>
    <row r="342" spans="2:53" s="76" customFormat="1" ht="63">
      <c r="B342" s="703">
        <f>1+B341</f>
        <v>236</v>
      </c>
      <c r="C342" s="197" t="s">
        <v>1213</v>
      </c>
      <c r="D342" s="198"/>
      <c r="E342" s="703" t="s">
        <v>1131</v>
      </c>
      <c r="F342" s="703">
        <v>3</v>
      </c>
      <c r="G342" s="199">
        <v>3770</v>
      </c>
      <c r="H342" s="736"/>
      <c r="I342" s="199"/>
      <c r="J342" s="736"/>
      <c r="K342" s="199"/>
      <c r="L342" s="199"/>
      <c r="M342" s="736"/>
      <c r="N342" s="199"/>
      <c r="O342" s="736"/>
      <c r="P342" s="199"/>
      <c r="Q342" s="199"/>
      <c r="R342" s="199">
        <f>G342+I342+K342+L342+N342+P342+Q342</f>
        <v>3770</v>
      </c>
      <c r="S342" s="199">
        <v>1</v>
      </c>
      <c r="T342" s="199"/>
      <c r="U342" s="199"/>
      <c r="V342" s="737">
        <v>0.1</v>
      </c>
      <c r="W342" s="199">
        <f>R342*V342</f>
        <v>377</v>
      </c>
      <c r="X342" s="718"/>
      <c r="Y342" s="737"/>
      <c r="Z342" s="199"/>
      <c r="AA342" s="199">
        <f>AH342</f>
        <v>4230</v>
      </c>
      <c r="AB342" s="796">
        <f>(R342+Z342+U342+W342)*S342+AA342</f>
        <v>8377</v>
      </c>
      <c r="AC342" s="738">
        <f>AF342</f>
        <v>0</v>
      </c>
      <c r="AD342" s="738">
        <f>AB342+AC342</f>
        <v>8377</v>
      </c>
      <c r="AE342" s="202">
        <f>AB342</f>
        <v>8377</v>
      </c>
      <c r="AF342" s="202">
        <f>AE342-AB342</f>
        <v>0</v>
      </c>
      <c r="AG342" s="738">
        <f>8000*S342</f>
        <v>8000</v>
      </c>
      <c r="AH342" s="202">
        <f>AG342-(R342*S342)</f>
        <v>4230</v>
      </c>
      <c r="AI342" s="203">
        <f>G342*S342</f>
        <v>3770</v>
      </c>
      <c r="AJ342" s="203">
        <f>G342*T342</f>
        <v>0</v>
      </c>
      <c r="AK342" s="203">
        <f>R342*S342</f>
        <v>3770</v>
      </c>
      <c r="AL342" s="203">
        <f>R342*T342</f>
        <v>0</v>
      </c>
      <c r="AM342" s="203">
        <f t="shared" si="436"/>
        <v>0</v>
      </c>
      <c r="AN342" s="203">
        <f t="shared" si="436"/>
        <v>0</v>
      </c>
      <c r="AO342" s="205">
        <f>Z342*S342</f>
        <v>0</v>
      </c>
      <c r="AP342" s="205">
        <f>Z342*T342</f>
        <v>0</v>
      </c>
      <c r="AQ342" s="205">
        <f>AA342</f>
        <v>4230</v>
      </c>
      <c r="AR342" s="205">
        <f>W342*S342</f>
        <v>377</v>
      </c>
      <c r="AS342" s="205">
        <f>W342*T342</f>
        <v>0</v>
      </c>
      <c r="AT342" s="209">
        <f t="shared" si="377"/>
        <v>3770</v>
      </c>
      <c r="AU342" s="209">
        <f t="shared" si="377"/>
        <v>0</v>
      </c>
      <c r="AV342" s="203"/>
      <c r="AW342" s="251">
        <f>R342*S342</f>
        <v>3770</v>
      </c>
      <c r="AX342" s="251"/>
    </row>
    <row r="343" spans="2:53" s="76" customFormat="1" ht="31.5">
      <c r="B343" s="703"/>
      <c r="C343" s="180" t="s">
        <v>1736</v>
      </c>
      <c r="D343" s="207"/>
      <c r="E343" s="193"/>
      <c r="F343" s="193"/>
      <c r="G343" s="183">
        <f>SUM(G338:G342)</f>
        <v>18850</v>
      </c>
      <c r="H343" s="731"/>
      <c r="I343" s="193"/>
      <c r="J343" s="731"/>
      <c r="K343" s="193"/>
      <c r="L343" s="193"/>
      <c r="M343" s="731"/>
      <c r="N343" s="193"/>
      <c r="O343" s="731"/>
      <c r="P343" s="193"/>
      <c r="Q343" s="193"/>
      <c r="R343" s="183">
        <f>SUM(R338:R342)</f>
        <v>18850</v>
      </c>
      <c r="S343" s="183">
        <f>SUM(S338:S342)</f>
        <v>5</v>
      </c>
      <c r="T343" s="183">
        <f>SUM(T338:T342)</f>
        <v>0</v>
      </c>
      <c r="U343" s="183"/>
      <c r="V343" s="742"/>
      <c r="W343" s="183">
        <f>SUM(W338:W342)</f>
        <v>1885</v>
      </c>
      <c r="X343" s="742"/>
      <c r="Y343" s="742"/>
      <c r="Z343" s="183"/>
      <c r="AA343" s="183">
        <f t="shared" ref="AA343:AV343" si="437">SUM(AA338:AA342)</f>
        <v>21150</v>
      </c>
      <c r="AB343" s="797">
        <f t="shared" si="437"/>
        <v>41885</v>
      </c>
      <c r="AC343" s="183">
        <f t="shared" si="437"/>
        <v>0</v>
      </c>
      <c r="AD343" s="183">
        <f>SUM(AD338:AD342)</f>
        <v>41885</v>
      </c>
      <c r="AE343" s="183">
        <f t="shared" si="437"/>
        <v>41885</v>
      </c>
      <c r="AF343" s="183">
        <f t="shared" si="437"/>
        <v>0</v>
      </c>
      <c r="AG343" s="183">
        <f t="shared" si="437"/>
        <v>40000</v>
      </c>
      <c r="AH343" s="183">
        <f t="shared" si="437"/>
        <v>21150</v>
      </c>
      <c r="AI343" s="183">
        <f t="shared" si="437"/>
        <v>18850</v>
      </c>
      <c r="AJ343" s="183">
        <f t="shared" si="437"/>
        <v>0</v>
      </c>
      <c r="AK343" s="183">
        <f t="shared" si="437"/>
        <v>18850</v>
      </c>
      <c r="AL343" s="183">
        <f t="shared" si="437"/>
        <v>0</v>
      </c>
      <c r="AM343" s="183">
        <f t="shared" si="437"/>
        <v>0</v>
      </c>
      <c r="AN343" s="183">
        <f t="shared" si="437"/>
        <v>0</v>
      </c>
      <c r="AO343" s="183">
        <f t="shared" si="437"/>
        <v>0</v>
      </c>
      <c r="AP343" s="183">
        <f t="shared" si="437"/>
        <v>0</v>
      </c>
      <c r="AQ343" s="183">
        <f t="shared" si="437"/>
        <v>21150</v>
      </c>
      <c r="AR343" s="183">
        <f t="shared" si="437"/>
        <v>1885</v>
      </c>
      <c r="AS343" s="183">
        <f t="shared" si="437"/>
        <v>0</v>
      </c>
      <c r="AT343" s="183">
        <f t="shared" si="437"/>
        <v>18850</v>
      </c>
      <c r="AU343" s="183">
        <f t="shared" si="437"/>
        <v>0</v>
      </c>
      <c r="AV343" s="183">
        <f t="shared" si="437"/>
        <v>0</v>
      </c>
      <c r="AW343" s="183">
        <f>SUM(AW338:AW342)</f>
        <v>18850</v>
      </c>
      <c r="AX343" s="183">
        <f>SUM(AX338:AX342)</f>
        <v>0</v>
      </c>
    </row>
    <row r="344" spans="2:53" s="76" customFormat="1" ht="31.5">
      <c r="B344" s="703"/>
      <c r="C344" s="180" t="s">
        <v>1278</v>
      </c>
      <c r="D344" s="207"/>
      <c r="E344" s="193"/>
      <c r="F344" s="193"/>
      <c r="G344" s="183">
        <f>G328+G336+G343</f>
        <v>61854</v>
      </c>
      <c r="H344" s="742"/>
      <c r="I344" s="183">
        <f t="shared" ref="I344:AX344" si="438">I328+I336+I343</f>
        <v>552.70000000000005</v>
      </c>
      <c r="J344" s="742"/>
      <c r="K344" s="183"/>
      <c r="L344" s="183"/>
      <c r="M344" s="742"/>
      <c r="N344" s="183"/>
      <c r="O344" s="742"/>
      <c r="P344" s="183"/>
      <c r="Q344" s="183"/>
      <c r="R344" s="183">
        <f t="shared" si="438"/>
        <v>62406.7</v>
      </c>
      <c r="S344" s="183">
        <f t="shared" si="438"/>
        <v>12</v>
      </c>
      <c r="T344" s="183">
        <f t="shared" si="438"/>
        <v>0.25</v>
      </c>
      <c r="U344" s="183"/>
      <c r="V344" s="742"/>
      <c r="W344" s="183">
        <f t="shared" si="438"/>
        <v>1885</v>
      </c>
      <c r="X344" s="742"/>
      <c r="Y344" s="742"/>
      <c r="Z344" s="183"/>
      <c r="AA344" s="183">
        <f t="shared" si="438"/>
        <v>31303.14</v>
      </c>
      <c r="AB344" s="797">
        <f t="shared" si="438"/>
        <v>99885</v>
      </c>
      <c r="AC344" s="183">
        <f t="shared" si="438"/>
        <v>48000</v>
      </c>
      <c r="AD344" s="183">
        <f>AD328+AD336+AD343</f>
        <v>147885</v>
      </c>
      <c r="AE344" s="183">
        <f t="shared" si="438"/>
        <v>147885</v>
      </c>
      <c r="AF344" s="183">
        <f t="shared" si="438"/>
        <v>48000</v>
      </c>
      <c r="AG344" s="183">
        <f>AG328+AG336+AG343</f>
        <v>98000</v>
      </c>
      <c r="AH344" s="183">
        <f t="shared" si="438"/>
        <v>31303.14</v>
      </c>
      <c r="AI344" s="183">
        <f t="shared" si="438"/>
        <v>56039</v>
      </c>
      <c r="AJ344" s="183">
        <f t="shared" si="438"/>
        <v>1453.75</v>
      </c>
      <c r="AK344" s="183">
        <f t="shared" si="438"/>
        <v>56591.7</v>
      </c>
      <c r="AL344" s="183">
        <f t="shared" si="438"/>
        <v>1453.75</v>
      </c>
      <c r="AM344" s="183">
        <f t="shared" si="438"/>
        <v>552.69999999999982</v>
      </c>
      <c r="AN344" s="183">
        <f t="shared" si="438"/>
        <v>0</v>
      </c>
      <c r="AO344" s="183">
        <f t="shared" si="438"/>
        <v>8651.41</v>
      </c>
      <c r="AP344" s="183">
        <f t="shared" si="438"/>
        <v>0</v>
      </c>
      <c r="AQ344" s="183">
        <f t="shared" si="438"/>
        <v>31303.14</v>
      </c>
      <c r="AR344" s="183">
        <f t="shared" si="438"/>
        <v>1885</v>
      </c>
      <c r="AS344" s="183">
        <f t="shared" si="438"/>
        <v>0</v>
      </c>
      <c r="AT344" s="183">
        <f t="shared" si="438"/>
        <v>56591.7</v>
      </c>
      <c r="AU344" s="183">
        <f t="shared" si="438"/>
        <v>1453.75</v>
      </c>
      <c r="AV344" s="183">
        <f t="shared" si="438"/>
        <v>0</v>
      </c>
      <c r="AW344" s="183">
        <f t="shared" si="438"/>
        <v>58045.45</v>
      </c>
      <c r="AX344" s="183">
        <f t="shared" si="438"/>
        <v>0</v>
      </c>
    </row>
    <row r="345" spans="2:53" s="76" customFormat="1" ht="61.5">
      <c r="B345" s="703"/>
      <c r="C345" s="191" t="s">
        <v>1180</v>
      </c>
      <c r="D345" s="192"/>
      <c r="E345" s="193"/>
      <c r="F345" s="193"/>
      <c r="G345" s="193"/>
      <c r="H345" s="731"/>
      <c r="I345" s="193"/>
      <c r="J345" s="731"/>
      <c r="K345" s="193"/>
      <c r="L345" s="193"/>
      <c r="M345" s="731"/>
      <c r="N345" s="193"/>
      <c r="O345" s="731"/>
      <c r="P345" s="193"/>
      <c r="Q345" s="193"/>
      <c r="R345" s="193"/>
      <c r="S345" s="193"/>
      <c r="T345" s="193"/>
      <c r="U345" s="193"/>
      <c r="V345" s="732"/>
      <c r="W345" s="193"/>
      <c r="X345" s="732"/>
      <c r="Y345" s="732"/>
      <c r="Z345" s="193"/>
      <c r="AA345" s="193"/>
      <c r="AB345" s="795"/>
      <c r="AC345" s="195"/>
      <c r="AD345" s="195"/>
      <c r="AE345" s="195"/>
      <c r="AF345" s="195"/>
      <c r="AG345" s="195"/>
      <c r="AH345" s="195"/>
      <c r="AI345" s="203"/>
      <c r="AJ345" s="203"/>
      <c r="AK345" s="203"/>
      <c r="AL345" s="203"/>
      <c r="AM345" s="203"/>
      <c r="AN345" s="203"/>
      <c r="AO345" s="205"/>
      <c r="AP345" s="205"/>
      <c r="AQ345" s="205"/>
      <c r="AR345" s="205"/>
      <c r="AS345" s="205"/>
      <c r="AT345" s="209"/>
      <c r="AU345" s="209"/>
      <c r="AV345" s="203"/>
      <c r="AW345" s="251"/>
      <c r="AX345" s="251"/>
    </row>
    <row r="346" spans="2:53" s="76" customFormat="1" ht="33">
      <c r="B346" s="703"/>
      <c r="C346" s="220" t="s">
        <v>1581</v>
      </c>
      <c r="D346" s="192"/>
      <c r="E346" s="193"/>
      <c r="F346" s="193"/>
      <c r="G346" s="193"/>
      <c r="H346" s="731"/>
      <c r="I346" s="193"/>
      <c r="J346" s="731"/>
      <c r="K346" s="193"/>
      <c r="L346" s="193"/>
      <c r="M346" s="731"/>
      <c r="N346" s="193"/>
      <c r="O346" s="731"/>
      <c r="P346" s="193"/>
      <c r="Q346" s="193"/>
      <c r="R346" s="193"/>
      <c r="S346" s="193"/>
      <c r="T346" s="193"/>
      <c r="U346" s="193"/>
      <c r="V346" s="732"/>
      <c r="W346" s="193"/>
      <c r="X346" s="732"/>
      <c r="Y346" s="732"/>
      <c r="Z346" s="193"/>
      <c r="AA346" s="193"/>
      <c r="AB346" s="795"/>
      <c r="AC346" s="195"/>
      <c r="AD346" s="195"/>
      <c r="AE346" s="195"/>
      <c r="AF346" s="195"/>
      <c r="AG346" s="195"/>
      <c r="AH346" s="195"/>
      <c r="AI346" s="203"/>
      <c r="AJ346" s="203"/>
      <c r="AK346" s="203"/>
      <c r="AL346" s="203"/>
      <c r="AM346" s="203"/>
      <c r="AN346" s="203"/>
      <c r="AO346" s="205"/>
      <c r="AP346" s="205"/>
      <c r="AQ346" s="205"/>
      <c r="AR346" s="205"/>
      <c r="AS346" s="205"/>
      <c r="AT346" s="209"/>
      <c r="AU346" s="209"/>
      <c r="AV346" s="203"/>
      <c r="AW346" s="251"/>
      <c r="AX346" s="251"/>
    </row>
    <row r="347" spans="2:53" s="76" customFormat="1" ht="63">
      <c r="B347" s="703">
        <f>B342+1</f>
        <v>237</v>
      </c>
      <c r="C347" s="197" t="s">
        <v>1181</v>
      </c>
      <c r="D347" s="198" t="s">
        <v>1079</v>
      </c>
      <c r="E347" s="703" t="s">
        <v>1182</v>
      </c>
      <c r="F347" s="703">
        <v>9</v>
      </c>
      <c r="G347" s="199">
        <v>5527</v>
      </c>
      <c r="H347" s="736"/>
      <c r="I347" s="199"/>
      <c r="J347" s="736"/>
      <c r="K347" s="199"/>
      <c r="L347" s="199"/>
      <c r="M347" s="736"/>
      <c r="N347" s="199"/>
      <c r="O347" s="736"/>
      <c r="P347" s="199"/>
      <c r="Q347" s="206"/>
      <c r="R347" s="199">
        <f>G347+I347+K347+L347+N347+P347+Q347</f>
        <v>5527</v>
      </c>
      <c r="S347" s="199">
        <v>1</v>
      </c>
      <c r="T347" s="199"/>
      <c r="U347" s="206"/>
      <c r="V347" s="741"/>
      <c r="W347" s="206"/>
      <c r="X347" s="718">
        <v>32</v>
      </c>
      <c r="Y347" s="737">
        <v>0.3</v>
      </c>
      <c r="Z347" s="199">
        <f>R347*Y347</f>
        <v>1658.1</v>
      </c>
      <c r="AA347" s="199">
        <f>AH347</f>
        <v>814.89999999999964</v>
      </c>
      <c r="AB347" s="796">
        <f>(R347+Z347)*S347+AA347</f>
        <v>8000</v>
      </c>
      <c r="AC347" s="738">
        <f>AF347</f>
        <v>5500</v>
      </c>
      <c r="AD347" s="738">
        <f>AB347+AC347</f>
        <v>13500</v>
      </c>
      <c r="AE347" s="202">
        <f>13500*S347</f>
        <v>13500</v>
      </c>
      <c r="AF347" s="202">
        <f>AE347-AB347</f>
        <v>5500</v>
      </c>
      <c r="AG347" s="738">
        <f>8000*S347</f>
        <v>8000</v>
      </c>
      <c r="AH347" s="202">
        <f>AG347-(R347+Z347)*S347</f>
        <v>814.89999999999964</v>
      </c>
      <c r="AI347" s="203">
        <f>G347*S347</f>
        <v>5527</v>
      </c>
      <c r="AJ347" s="203">
        <f>G347*T347</f>
        <v>0</v>
      </c>
      <c r="AK347" s="203">
        <f>R347*S347</f>
        <v>5527</v>
      </c>
      <c r="AL347" s="203">
        <f>R347*T347</f>
        <v>0</v>
      </c>
      <c r="AM347" s="203">
        <f>AK347-AI347</f>
        <v>0</v>
      </c>
      <c r="AN347" s="203">
        <f>AL347-AJ347</f>
        <v>0</v>
      </c>
      <c r="AO347" s="205">
        <f>Z347*S347</f>
        <v>1658.1</v>
      </c>
      <c r="AP347" s="205">
        <f>Z347*T347</f>
        <v>0</v>
      </c>
      <c r="AQ347" s="205">
        <f>AA347</f>
        <v>814.89999999999964</v>
      </c>
      <c r="AR347" s="205">
        <f>W347*S347</f>
        <v>0</v>
      </c>
      <c r="AS347" s="205">
        <f>W347*T347</f>
        <v>0</v>
      </c>
      <c r="AT347" s="209">
        <f t="shared" si="377"/>
        <v>5527</v>
      </c>
      <c r="AU347" s="209">
        <f t="shared" si="377"/>
        <v>0</v>
      </c>
      <c r="AV347" s="203"/>
      <c r="AW347" s="251">
        <f>R347*S347</f>
        <v>5527</v>
      </c>
      <c r="AX347" s="251"/>
    </row>
    <row r="348" spans="2:53" s="76" customFormat="1" ht="31.5">
      <c r="B348" s="703"/>
      <c r="C348" s="180" t="s">
        <v>1736</v>
      </c>
      <c r="D348" s="207"/>
      <c r="E348" s="193"/>
      <c r="F348" s="193"/>
      <c r="G348" s="183">
        <f>SUM(G347)</f>
        <v>5527</v>
      </c>
      <c r="H348" s="731"/>
      <c r="I348" s="193"/>
      <c r="J348" s="731"/>
      <c r="K348" s="193"/>
      <c r="L348" s="193"/>
      <c r="M348" s="731"/>
      <c r="N348" s="193"/>
      <c r="O348" s="731"/>
      <c r="P348" s="193"/>
      <c r="Q348" s="193"/>
      <c r="R348" s="183">
        <f>SUM(R347:R347)</f>
        <v>5527</v>
      </c>
      <c r="S348" s="183">
        <f>SUM(S347:S347)</f>
        <v>1</v>
      </c>
      <c r="T348" s="183">
        <f>SUM(T347:T347)</f>
        <v>0</v>
      </c>
      <c r="U348" s="183"/>
      <c r="V348" s="742"/>
      <c r="W348" s="183"/>
      <c r="X348" s="742"/>
      <c r="Y348" s="742"/>
      <c r="Z348" s="183">
        <f t="shared" ref="Z348:AX348" si="439">SUM(Z347:Z347)</f>
        <v>1658.1</v>
      </c>
      <c r="AA348" s="183">
        <f t="shared" si="439"/>
        <v>814.89999999999964</v>
      </c>
      <c r="AB348" s="797">
        <f t="shared" si="439"/>
        <v>8000</v>
      </c>
      <c r="AC348" s="183">
        <f t="shared" si="439"/>
        <v>5500</v>
      </c>
      <c r="AD348" s="183">
        <f>SUM(AD347:AD347)</f>
        <v>13500</v>
      </c>
      <c r="AE348" s="183">
        <f t="shared" si="439"/>
        <v>13500</v>
      </c>
      <c r="AF348" s="183">
        <f t="shared" si="439"/>
        <v>5500</v>
      </c>
      <c r="AG348" s="183">
        <f t="shared" si="439"/>
        <v>8000</v>
      </c>
      <c r="AH348" s="183">
        <f>SUM(AH347:AH347)</f>
        <v>814.89999999999964</v>
      </c>
      <c r="AI348" s="183">
        <f t="shared" si="439"/>
        <v>5527</v>
      </c>
      <c r="AJ348" s="183">
        <f t="shared" si="439"/>
        <v>0</v>
      </c>
      <c r="AK348" s="183">
        <f t="shared" si="439"/>
        <v>5527</v>
      </c>
      <c r="AL348" s="183">
        <f t="shared" si="439"/>
        <v>0</v>
      </c>
      <c r="AM348" s="183">
        <f t="shared" si="439"/>
        <v>0</v>
      </c>
      <c r="AN348" s="183">
        <f t="shared" si="439"/>
        <v>0</v>
      </c>
      <c r="AO348" s="183">
        <f t="shared" si="439"/>
        <v>1658.1</v>
      </c>
      <c r="AP348" s="183">
        <f t="shared" si="439"/>
        <v>0</v>
      </c>
      <c r="AQ348" s="183">
        <f t="shared" si="439"/>
        <v>814.89999999999964</v>
      </c>
      <c r="AR348" s="183">
        <f t="shared" si="439"/>
        <v>0</v>
      </c>
      <c r="AS348" s="183">
        <f t="shared" si="439"/>
        <v>0</v>
      </c>
      <c r="AT348" s="183">
        <f t="shared" si="439"/>
        <v>5527</v>
      </c>
      <c r="AU348" s="183">
        <f t="shared" si="439"/>
        <v>0</v>
      </c>
      <c r="AV348" s="183">
        <f t="shared" si="439"/>
        <v>0</v>
      </c>
      <c r="AW348" s="183">
        <f t="shared" si="439"/>
        <v>5527</v>
      </c>
      <c r="AX348" s="183">
        <f t="shared" si="439"/>
        <v>0</v>
      </c>
    </row>
    <row r="349" spans="2:53" s="76" customFormat="1" ht="31.5">
      <c r="B349" s="703"/>
      <c r="C349" s="180" t="s">
        <v>1278</v>
      </c>
      <c r="D349" s="207"/>
      <c r="E349" s="193"/>
      <c r="F349" s="193"/>
      <c r="G349" s="183">
        <f>G344+G348</f>
        <v>67381</v>
      </c>
      <c r="H349" s="742"/>
      <c r="I349" s="183">
        <f>I344+I348</f>
        <v>552.70000000000005</v>
      </c>
      <c r="J349" s="742"/>
      <c r="K349" s="183"/>
      <c r="L349" s="183"/>
      <c r="M349" s="742"/>
      <c r="N349" s="183"/>
      <c r="O349" s="742"/>
      <c r="P349" s="183"/>
      <c r="Q349" s="183"/>
      <c r="R349" s="183">
        <f t="shared" ref="R349:AA349" si="440">R344+R348</f>
        <v>67933.7</v>
      </c>
      <c r="S349" s="183">
        <f t="shared" si="440"/>
        <v>13</v>
      </c>
      <c r="T349" s="183">
        <f t="shared" si="440"/>
        <v>0.25</v>
      </c>
      <c r="U349" s="183"/>
      <c r="V349" s="742"/>
      <c r="W349" s="183">
        <f t="shared" si="440"/>
        <v>1885</v>
      </c>
      <c r="X349" s="742"/>
      <c r="Y349" s="742"/>
      <c r="Z349" s="183">
        <f t="shared" si="440"/>
        <v>1658.1</v>
      </c>
      <c r="AA349" s="183">
        <f t="shared" si="440"/>
        <v>32118.04</v>
      </c>
      <c r="AB349" s="797">
        <f>AB344+AB348</f>
        <v>107885</v>
      </c>
      <c r="AC349" s="183">
        <f t="shared" ref="AC349:AX349" si="441">AC344+AC348</f>
        <v>53500</v>
      </c>
      <c r="AD349" s="183">
        <f>AD344+AD348</f>
        <v>161385</v>
      </c>
      <c r="AE349" s="183">
        <f t="shared" si="441"/>
        <v>161385</v>
      </c>
      <c r="AF349" s="183">
        <f t="shared" si="441"/>
        <v>53500</v>
      </c>
      <c r="AG349" s="183">
        <f>AG344+AG348</f>
        <v>106000</v>
      </c>
      <c r="AH349" s="183">
        <f t="shared" si="441"/>
        <v>32118.04</v>
      </c>
      <c r="AI349" s="183">
        <f t="shared" si="441"/>
        <v>61566</v>
      </c>
      <c r="AJ349" s="183">
        <f t="shared" si="441"/>
        <v>1453.75</v>
      </c>
      <c r="AK349" s="183">
        <f t="shared" si="441"/>
        <v>62118.7</v>
      </c>
      <c r="AL349" s="183">
        <f t="shared" si="441"/>
        <v>1453.75</v>
      </c>
      <c r="AM349" s="183">
        <f t="shared" si="441"/>
        <v>552.69999999999982</v>
      </c>
      <c r="AN349" s="183">
        <f t="shared" si="441"/>
        <v>0</v>
      </c>
      <c r="AO349" s="183">
        <f t="shared" si="441"/>
        <v>10309.51</v>
      </c>
      <c r="AP349" s="183">
        <f t="shared" si="441"/>
        <v>0</v>
      </c>
      <c r="AQ349" s="183">
        <f t="shared" si="441"/>
        <v>32118.04</v>
      </c>
      <c r="AR349" s="183">
        <f t="shared" si="441"/>
        <v>1885</v>
      </c>
      <c r="AS349" s="183">
        <f t="shared" si="441"/>
        <v>0</v>
      </c>
      <c r="AT349" s="183">
        <f t="shared" si="441"/>
        <v>62118.7</v>
      </c>
      <c r="AU349" s="183">
        <f t="shared" si="441"/>
        <v>1453.75</v>
      </c>
      <c r="AV349" s="183">
        <f t="shared" si="441"/>
        <v>0</v>
      </c>
      <c r="AW349" s="183">
        <f t="shared" si="441"/>
        <v>63572.45</v>
      </c>
      <c r="AX349" s="183">
        <f t="shared" si="441"/>
        <v>0</v>
      </c>
    </row>
    <row r="350" spans="2:53" s="76" customFormat="1" ht="61.5">
      <c r="B350" s="703"/>
      <c r="C350" s="191" t="s">
        <v>1045</v>
      </c>
      <c r="D350" s="192"/>
      <c r="E350" s="193"/>
      <c r="F350" s="193"/>
      <c r="G350" s="193"/>
      <c r="H350" s="731"/>
      <c r="I350" s="193"/>
      <c r="J350" s="731"/>
      <c r="K350" s="193"/>
      <c r="L350" s="193"/>
      <c r="M350" s="731"/>
      <c r="N350" s="193"/>
      <c r="O350" s="731"/>
      <c r="P350" s="193"/>
      <c r="Q350" s="193"/>
      <c r="R350" s="193"/>
      <c r="S350" s="193"/>
      <c r="T350" s="193"/>
      <c r="U350" s="193"/>
      <c r="V350" s="732"/>
      <c r="W350" s="193"/>
      <c r="X350" s="732"/>
      <c r="Y350" s="732"/>
      <c r="Z350" s="193"/>
      <c r="AA350" s="193"/>
      <c r="AB350" s="795"/>
      <c r="AC350" s="195"/>
      <c r="AD350" s="195"/>
      <c r="AE350" s="195"/>
      <c r="AF350" s="195"/>
      <c r="AG350" s="195"/>
      <c r="AH350" s="195"/>
      <c r="AI350" s="203"/>
      <c r="AJ350" s="203"/>
      <c r="AK350" s="203"/>
      <c r="AL350" s="203"/>
      <c r="AM350" s="203"/>
      <c r="AN350" s="203"/>
      <c r="AO350" s="205"/>
      <c r="AP350" s="205"/>
      <c r="AQ350" s="205"/>
      <c r="AR350" s="205"/>
      <c r="AS350" s="205"/>
      <c r="AT350" s="209"/>
      <c r="AU350" s="209"/>
      <c r="AV350" s="203"/>
      <c r="AW350" s="251"/>
      <c r="AX350" s="251"/>
    </row>
    <row r="351" spans="2:53" s="76" customFormat="1" ht="61.5">
      <c r="B351" s="703"/>
      <c r="C351" s="191" t="s">
        <v>1046</v>
      </c>
      <c r="D351" s="192"/>
      <c r="E351" s="193"/>
      <c r="F351" s="193"/>
      <c r="G351" s="193"/>
      <c r="H351" s="731"/>
      <c r="I351" s="193"/>
      <c r="J351" s="731"/>
      <c r="K351" s="193"/>
      <c r="L351" s="193"/>
      <c r="M351" s="731"/>
      <c r="N351" s="193"/>
      <c r="O351" s="731"/>
      <c r="P351" s="193"/>
      <c r="Q351" s="193"/>
      <c r="R351" s="193"/>
      <c r="S351" s="193"/>
      <c r="T351" s="193"/>
      <c r="U351" s="193"/>
      <c r="V351" s="732"/>
      <c r="W351" s="193"/>
      <c r="X351" s="732"/>
      <c r="Y351" s="732"/>
      <c r="Z351" s="193"/>
      <c r="AA351" s="193"/>
      <c r="AB351" s="795"/>
      <c r="AC351" s="195"/>
      <c r="AD351" s="195"/>
      <c r="AE351" s="195"/>
      <c r="AF351" s="195"/>
      <c r="AG351" s="195"/>
      <c r="AH351" s="195"/>
      <c r="AI351" s="203"/>
      <c r="AJ351" s="203"/>
      <c r="AK351" s="203"/>
      <c r="AL351" s="203"/>
      <c r="AM351" s="203"/>
      <c r="AN351" s="203"/>
      <c r="AO351" s="205"/>
      <c r="AP351" s="205"/>
      <c r="AQ351" s="205"/>
      <c r="AR351" s="205"/>
      <c r="AS351" s="205"/>
      <c r="AT351" s="209"/>
      <c r="AU351" s="209"/>
      <c r="AV351" s="203"/>
      <c r="AW351" s="251"/>
      <c r="AX351" s="251"/>
    </row>
    <row r="352" spans="2:53" s="76" customFormat="1" ht="33">
      <c r="B352" s="703"/>
      <c r="C352" s="220" t="s">
        <v>1382</v>
      </c>
      <c r="D352" s="217"/>
      <c r="E352" s="218"/>
      <c r="F352" s="218"/>
      <c r="G352" s="218"/>
      <c r="H352" s="745"/>
      <c r="I352" s="218"/>
      <c r="J352" s="745"/>
      <c r="K352" s="218"/>
      <c r="L352" s="218"/>
      <c r="M352" s="745"/>
      <c r="N352" s="218"/>
      <c r="O352" s="745"/>
      <c r="P352" s="218"/>
      <c r="Q352" s="218"/>
      <c r="R352" s="218"/>
      <c r="S352" s="218"/>
      <c r="T352" s="218"/>
      <c r="U352" s="218"/>
      <c r="V352" s="746"/>
      <c r="W352" s="218"/>
      <c r="X352" s="746"/>
      <c r="Y352" s="746"/>
      <c r="Z352" s="218"/>
      <c r="AA352" s="218"/>
      <c r="AB352" s="799"/>
      <c r="AC352" s="219"/>
      <c r="AD352" s="219"/>
      <c r="AE352" s="219"/>
      <c r="AF352" s="219"/>
      <c r="AG352" s="219"/>
      <c r="AH352" s="219"/>
      <c r="AI352" s="203"/>
      <c r="AJ352" s="203"/>
      <c r="AK352" s="203"/>
      <c r="AL352" s="203"/>
      <c r="AM352" s="203"/>
      <c r="AN352" s="203"/>
      <c r="AO352" s="205"/>
      <c r="AP352" s="205"/>
      <c r="AQ352" s="205"/>
      <c r="AR352" s="205"/>
      <c r="AS352" s="205"/>
      <c r="AT352" s="209"/>
      <c r="AU352" s="209"/>
      <c r="AV352" s="203"/>
      <c r="AW352" s="251"/>
      <c r="AX352" s="251"/>
      <c r="BA352" s="77"/>
    </row>
    <row r="353" spans="2:50" s="76" customFormat="1" ht="87.75">
      <c r="B353" s="703">
        <f>B347+1</f>
        <v>238</v>
      </c>
      <c r="C353" s="197" t="s">
        <v>1047</v>
      </c>
      <c r="D353" s="198" t="s">
        <v>1048</v>
      </c>
      <c r="E353" s="703" t="s">
        <v>1049</v>
      </c>
      <c r="F353" s="703">
        <v>13</v>
      </c>
      <c r="G353" s="199">
        <v>7253</v>
      </c>
      <c r="H353" s="737">
        <v>0.1</v>
      </c>
      <c r="I353" s="703">
        <f>G353*H353</f>
        <v>725.30000000000007</v>
      </c>
      <c r="J353" s="718"/>
      <c r="K353" s="703"/>
      <c r="L353" s="703"/>
      <c r="M353" s="718"/>
      <c r="N353" s="193"/>
      <c r="O353" s="737">
        <v>0.15</v>
      </c>
      <c r="P353" s="204">
        <f>(G353+I353)*O353</f>
        <v>1196.7449999999999</v>
      </c>
      <c r="Q353" s="201"/>
      <c r="R353" s="199">
        <f>G353+I353+K353+L353+N353+P353+Q353</f>
        <v>9175.0450000000001</v>
      </c>
      <c r="S353" s="199">
        <v>1</v>
      </c>
      <c r="T353" s="703"/>
      <c r="U353" s="703"/>
      <c r="V353" s="718"/>
      <c r="W353" s="703"/>
      <c r="X353" s="718">
        <v>36</v>
      </c>
      <c r="Y353" s="737">
        <v>0.3</v>
      </c>
      <c r="Z353" s="199">
        <f>R353*Y353</f>
        <v>2752.5135</v>
      </c>
      <c r="AA353" s="199"/>
      <c r="AB353" s="796">
        <f>(R353+Z353)*S353+AA353</f>
        <v>11927.558499999999</v>
      </c>
      <c r="AC353" s="738">
        <f>AF353</f>
        <v>8072.4415000000008</v>
      </c>
      <c r="AD353" s="738">
        <f>AB353+AC353</f>
        <v>20000</v>
      </c>
      <c r="AE353" s="202">
        <f>20000*S353</f>
        <v>20000</v>
      </c>
      <c r="AF353" s="202">
        <f>AE353-AB353</f>
        <v>8072.4415000000008</v>
      </c>
      <c r="AG353" s="738">
        <f>8000*S353</f>
        <v>8000</v>
      </c>
      <c r="AH353" s="202">
        <f>AG353-(R353+Z353)*S353</f>
        <v>-3927.5584999999992</v>
      </c>
      <c r="AI353" s="203">
        <f>G353*S353</f>
        <v>7253</v>
      </c>
      <c r="AJ353" s="203">
        <f>G353*T353</f>
        <v>0</v>
      </c>
      <c r="AK353" s="203">
        <f>R353*S353</f>
        <v>9175.0450000000001</v>
      </c>
      <c r="AL353" s="203">
        <f>R353*T353</f>
        <v>0</v>
      </c>
      <c r="AM353" s="203">
        <f>AK353-AI353</f>
        <v>1922.0450000000001</v>
      </c>
      <c r="AN353" s="203">
        <f>AL353-AJ353</f>
        <v>0</v>
      </c>
      <c r="AO353" s="205">
        <f>Z353*S353</f>
        <v>2752.5135</v>
      </c>
      <c r="AP353" s="205">
        <f>Z353*T353</f>
        <v>0</v>
      </c>
      <c r="AQ353" s="205">
        <f>AA353</f>
        <v>0</v>
      </c>
      <c r="AR353" s="205">
        <f>W353*S353</f>
        <v>0</v>
      </c>
      <c r="AS353" s="205">
        <f>W353*T353</f>
        <v>0</v>
      </c>
      <c r="AT353" s="209">
        <f t="shared" ref="AT353:AU409" si="442">AK353</f>
        <v>9175.0450000000001</v>
      </c>
      <c r="AU353" s="209">
        <f t="shared" si="442"/>
        <v>0</v>
      </c>
      <c r="AV353" s="203"/>
      <c r="AW353" s="251">
        <f>R353*S353</f>
        <v>9175.0450000000001</v>
      </c>
      <c r="AX353" s="251"/>
    </row>
    <row r="354" spans="2:50" s="76" customFormat="1" ht="87.75">
      <c r="B354" s="703">
        <f>1+B353</f>
        <v>239</v>
      </c>
      <c r="C354" s="197" t="s">
        <v>203</v>
      </c>
      <c r="D354" s="198" t="s">
        <v>1788</v>
      </c>
      <c r="E354" s="703" t="s">
        <v>1050</v>
      </c>
      <c r="F354" s="703">
        <v>13</v>
      </c>
      <c r="G354" s="199">
        <v>7253</v>
      </c>
      <c r="H354" s="718"/>
      <c r="I354" s="703"/>
      <c r="J354" s="718"/>
      <c r="K354" s="703"/>
      <c r="L354" s="703"/>
      <c r="M354" s="718"/>
      <c r="N354" s="193"/>
      <c r="O354" s="737">
        <v>0.15</v>
      </c>
      <c r="P354" s="204">
        <f>(G354+I354)*O354</f>
        <v>1087.95</v>
      </c>
      <c r="Q354" s="201"/>
      <c r="R354" s="199">
        <f>G354+I354+K354+L354+N354+P354+Q354</f>
        <v>8340.9500000000007</v>
      </c>
      <c r="S354" s="199">
        <v>1</v>
      </c>
      <c r="T354" s="703"/>
      <c r="U354" s="703"/>
      <c r="V354" s="718"/>
      <c r="W354" s="703"/>
      <c r="X354" s="718">
        <v>31</v>
      </c>
      <c r="Y354" s="737">
        <v>0.3</v>
      </c>
      <c r="Z354" s="199">
        <f>R354*Y354</f>
        <v>2502.2850000000003</v>
      </c>
      <c r="AA354" s="199"/>
      <c r="AB354" s="796">
        <f>(R354+Z354)*S354+AA354</f>
        <v>10843.235000000001</v>
      </c>
      <c r="AC354" s="738">
        <f>AF354</f>
        <v>9156.7649999999994</v>
      </c>
      <c r="AD354" s="738">
        <f>AB354+AC354</f>
        <v>20000</v>
      </c>
      <c r="AE354" s="202">
        <f>20000*S354</f>
        <v>20000</v>
      </c>
      <c r="AF354" s="202">
        <f>AE354-AB354</f>
        <v>9156.7649999999994</v>
      </c>
      <c r="AG354" s="738">
        <f>8000*S354</f>
        <v>8000</v>
      </c>
      <c r="AH354" s="202">
        <f>AG354-(R354+Z354)*S354</f>
        <v>-2843.2350000000006</v>
      </c>
      <c r="AI354" s="203">
        <f>G354*S354</f>
        <v>7253</v>
      </c>
      <c r="AJ354" s="203">
        <f>G354*T354</f>
        <v>0</v>
      </c>
      <c r="AK354" s="203">
        <f>R354*S354</f>
        <v>8340.9500000000007</v>
      </c>
      <c r="AL354" s="203">
        <f>R354*T354</f>
        <v>0</v>
      </c>
      <c r="AM354" s="203">
        <f>AK354-AI354</f>
        <v>1087.9500000000007</v>
      </c>
      <c r="AN354" s="203">
        <f>AL354-AJ354</f>
        <v>0</v>
      </c>
      <c r="AO354" s="205">
        <f>Z354*S354</f>
        <v>2502.2850000000003</v>
      </c>
      <c r="AP354" s="205">
        <f>Z354*T354</f>
        <v>0</v>
      </c>
      <c r="AQ354" s="205">
        <f>AA354</f>
        <v>0</v>
      </c>
      <c r="AR354" s="205">
        <f>W354*S354</f>
        <v>0</v>
      </c>
      <c r="AS354" s="205">
        <f>W354*T354</f>
        <v>0</v>
      </c>
      <c r="AT354" s="209">
        <f t="shared" si="442"/>
        <v>8340.9500000000007</v>
      </c>
      <c r="AU354" s="209">
        <f t="shared" si="442"/>
        <v>0</v>
      </c>
      <c r="AV354" s="203"/>
      <c r="AW354" s="251">
        <f>R354*S354</f>
        <v>8340.9500000000007</v>
      </c>
      <c r="AX354" s="251"/>
    </row>
    <row r="355" spans="2:50" s="76" customFormat="1" ht="31.5">
      <c r="B355" s="703"/>
      <c r="C355" s="180" t="s">
        <v>1736</v>
      </c>
      <c r="D355" s="207"/>
      <c r="E355" s="193"/>
      <c r="F355" s="193"/>
      <c r="G355" s="183">
        <f>SUM(G353:G354)</f>
        <v>14506</v>
      </c>
      <c r="H355" s="752"/>
      <c r="I355" s="183">
        <f>SUM(I353:I354)</f>
        <v>725.30000000000007</v>
      </c>
      <c r="J355" s="731"/>
      <c r="K355" s="193"/>
      <c r="L355" s="193"/>
      <c r="M355" s="731"/>
      <c r="N355" s="193"/>
      <c r="O355" s="731"/>
      <c r="P355" s="183">
        <f>SUM(P353:P354)</f>
        <v>2284.6949999999997</v>
      </c>
      <c r="Q355" s="193"/>
      <c r="R355" s="183">
        <f>SUM(R353:R354)</f>
        <v>17515.995000000003</v>
      </c>
      <c r="S355" s="183">
        <f>SUM(S353:S354)</f>
        <v>2</v>
      </c>
      <c r="T355" s="183">
        <f>SUM(T353:T354)</f>
        <v>0</v>
      </c>
      <c r="U355" s="183"/>
      <c r="V355" s="742"/>
      <c r="W355" s="183"/>
      <c r="X355" s="742"/>
      <c r="Y355" s="742"/>
      <c r="Z355" s="183">
        <f>SUM(Z353:Z354)</f>
        <v>5254.7985000000008</v>
      </c>
      <c r="AA355" s="183">
        <f t="shared" ref="AA355:AV355" si="443">SUM(AA353:AA354)</f>
        <v>0</v>
      </c>
      <c r="AB355" s="797">
        <f t="shared" si="443"/>
        <v>22770.7935</v>
      </c>
      <c r="AC355" s="183">
        <f t="shared" si="443"/>
        <v>17229.2065</v>
      </c>
      <c r="AD355" s="183">
        <f>SUM(AD353:AD354)</f>
        <v>40000</v>
      </c>
      <c r="AE355" s="183">
        <f t="shared" si="443"/>
        <v>40000</v>
      </c>
      <c r="AF355" s="183">
        <f t="shared" si="443"/>
        <v>17229.2065</v>
      </c>
      <c r="AG355" s="183">
        <f t="shared" si="443"/>
        <v>16000</v>
      </c>
      <c r="AH355" s="183">
        <f t="shared" si="443"/>
        <v>-6770.7934999999998</v>
      </c>
      <c r="AI355" s="183">
        <f t="shared" si="443"/>
        <v>14506</v>
      </c>
      <c r="AJ355" s="183">
        <f t="shared" si="443"/>
        <v>0</v>
      </c>
      <c r="AK355" s="183">
        <f t="shared" si="443"/>
        <v>17515.995000000003</v>
      </c>
      <c r="AL355" s="183">
        <f t="shared" si="443"/>
        <v>0</v>
      </c>
      <c r="AM355" s="183">
        <f t="shared" si="443"/>
        <v>3009.9950000000008</v>
      </c>
      <c r="AN355" s="183">
        <f t="shared" si="443"/>
        <v>0</v>
      </c>
      <c r="AO355" s="183">
        <f t="shared" si="443"/>
        <v>5254.7985000000008</v>
      </c>
      <c r="AP355" s="183">
        <f t="shared" si="443"/>
        <v>0</v>
      </c>
      <c r="AQ355" s="183">
        <f t="shared" si="443"/>
        <v>0</v>
      </c>
      <c r="AR355" s="183">
        <f t="shared" si="443"/>
        <v>0</v>
      </c>
      <c r="AS355" s="183">
        <f t="shared" si="443"/>
        <v>0</v>
      </c>
      <c r="AT355" s="183">
        <f t="shared" si="443"/>
        <v>17515.995000000003</v>
      </c>
      <c r="AU355" s="183">
        <f t="shared" si="443"/>
        <v>0</v>
      </c>
      <c r="AV355" s="183">
        <f t="shared" si="443"/>
        <v>0</v>
      </c>
      <c r="AW355" s="183">
        <f>SUM(AW353:AW354)</f>
        <v>17515.995000000003</v>
      </c>
      <c r="AX355" s="183">
        <f>SUM(AX353:AX354)</f>
        <v>0</v>
      </c>
    </row>
    <row r="356" spans="2:50" s="76" customFormat="1" ht="33">
      <c r="B356" s="703"/>
      <c r="C356" s="220" t="s">
        <v>1581</v>
      </c>
      <c r="D356" s="192"/>
      <c r="E356" s="193"/>
      <c r="F356" s="193"/>
      <c r="G356" s="193"/>
      <c r="H356" s="731"/>
      <c r="I356" s="193"/>
      <c r="J356" s="731"/>
      <c r="K356" s="193"/>
      <c r="L356" s="193"/>
      <c r="M356" s="731"/>
      <c r="N356" s="193"/>
      <c r="O356" s="731"/>
      <c r="P356" s="193"/>
      <c r="Q356" s="193"/>
      <c r="R356" s="193"/>
      <c r="S356" s="193"/>
      <c r="T356" s="193"/>
      <c r="U356" s="193"/>
      <c r="V356" s="732"/>
      <c r="W356" s="193"/>
      <c r="X356" s="732"/>
      <c r="Y356" s="732"/>
      <c r="Z356" s="193"/>
      <c r="AA356" s="193"/>
      <c r="AB356" s="795"/>
      <c r="AC356" s="195"/>
      <c r="AD356" s="195"/>
      <c r="AE356" s="195"/>
      <c r="AF356" s="195"/>
      <c r="AG356" s="195"/>
      <c r="AH356" s="195"/>
      <c r="AI356" s="203"/>
      <c r="AJ356" s="203"/>
      <c r="AK356" s="203"/>
      <c r="AL356" s="203"/>
      <c r="AM356" s="203"/>
      <c r="AN356" s="203"/>
      <c r="AO356" s="205"/>
      <c r="AP356" s="205"/>
      <c r="AQ356" s="205"/>
      <c r="AR356" s="205"/>
      <c r="AS356" s="205"/>
      <c r="AT356" s="209"/>
      <c r="AU356" s="209"/>
      <c r="AV356" s="203"/>
      <c r="AW356" s="251"/>
      <c r="AX356" s="251"/>
    </row>
    <row r="357" spans="2:50" s="76" customFormat="1" ht="72.75" customHeight="1">
      <c r="B357" s="703">
        <f>B354+1</f>
        <v>240</v>
      </c>
      <c r="C357" s="197" t="s">
        <v>1148</v>
      </c>
      <c r="D357" s="198" t="s">
        <v>1372</v>
      </c>
      <c r="E357" s="703" t="s">
        <v>1867</v>
      </c>
      <c r="F357" s="206">
        <v>10</v>
      </c>
      <c r="G357" s="199">
        <v>5815</v>
      </c>
      <c r="H357" s="736"/>
      <c r="I357" s="199"/>
      <c r="J357" s="736"/>
      <c r="K357" s="199"/>
      <c r="L357" s="199"/>
      <c r="M357" s="736"/>
      <c r="N357" s="199"/>
      <c r="O357" s="737">
        <v>0.15</v>
      </c>
      <c r="P357" s="204">
        <f>G357*O357</f>
        <v>872.25</v>
      </c>
      <c r="Q357" s="199"/>
      <c r="R357" s="199">
        <f t="shared" ref="R357:R362" si="444">G357+I357+K357+L357+N357+P357+Q357</f>
        <v>6687.25</v>
      </c>
      <c r="S357" s="199">
        <v>1</v>
      </c>
      <c r="T357" s="199"/>
      <c r="U357" s="199"/>
      <c r="V357" s="736"/>
      <c r="W357" s="199"/>
      <c r="X357" s="718">
        <v>24</v>
      </c>
      <c r="Y357" s="737">
        <v>0.3</v>
      </c>
      <c r="Z357" s="199">
        <f t="shared" ref="Z357:Z362" si="445">R357*Y357</f>
        <v>2006.175</v>
      </c>
      <c r="AA357" s="199"/>
      <c r="AB357" s="796">
        <f t="shared" ref="AB357:AB362" si="446">(R357+Z357)*S357+AA357</f>
        <v>8693.4249999999993</v>
      </c>
      <c r="AC357" s="738">
        <f t="shared" ref="AC357:AC362" si="447">AF357</f>
        <v>4806.5750000000007</v>
      </c>
      <c r="AD357" s="738">
        <f t="shared" ref="AD357:AD362" si="448">AB357+AC357</f>
        <v>13500</v>
      </c>
      <c r="AE357" s="202">
        <f t="shared" ref="AE357:AE362" si="449">13500*S357</f>
        <v>13500</v>
      </c>
      <c r="AF357" s="202">
        <f t="shared" ref="AF357:AF362" si="450">AE357-AB357</f>
        <v>4806.5750000000007</v>
      </c>
      <c r="AG357" s="738">
        <f t="shared" ref="AG357:AG362" si="451">8000*S357</f>
        <v>8000</v>
      </c>
      <c r="AH357" s="202">
        <f t="shared" ref="AH357:AH362" si="452">AG357-(R357+Z357)*S357</f>
        <v>-693.42499999999927</v>
      </c>
      <c r="AI357" s="203">
        <f t="shared" ref="AI357:AI362" si="453">G357*S357</f>
        <v>5815</v>
      </c>
      <c r="AJ357" s="203">
        <f t="shared" ref="AJ357:AJ362" si="454">G357*T357</f>
        <v>0</v>
      </c>
      <c r="AK357" s="203">
        <f t="shared" ref="AK357:AK362" si="455">R357*S357</f>
        <v>6687.25</v>
      </c>
      <c r="AL357" s="203">
        <f t="shared" ref="AL357:AL362" si="456">R357*T357</f>
        <v>0</v>
      </c>
      <c r="AM357" s="203">
        <f t="shared" ref="AM357:AN362" si="457">AK357-AI357</f>
        <v>872.25</v>
      </c>
      <c r="AN357" s="203">
        <f t="shared" si="457"/>
        <v>0</v>
      </c>
      <c r="AO357" s="205">
        <f t="shared" ref="AO357:AO362" si="458">Z357*S357</f>
        <v>2006.175</v>
      </c>
      <c r="AP357" s="205">
        <f t="shared" ref="AP357:AP362" si="459">Z357*T357</f>
        <v>0</v>
      </c>
      <c r="AQ357" s="205">
        <f t="shared" ref="AQ357:AQ362" si="460">AA357</f>
        <v>0</v>
      </c>
      <c r="AR357" s="205">
        <f t="shared" ref="AR357:AR362" si="461">W357*S357</f>
        <v>0</v>
      </c>
      <c r="AS357" s="205">
        <f t="shared" ref="AS357:AS362" si="462">W357*T357</f>
        <v>0</v>
      </c>
      <c r="AT357" s="209">
        <f t="shared" si="442"/>
        <v>6687.25</v>
      </c>
      <c r="AU357" s="209">
        <f t="shared" si="442"/>
        <v>0</v>
      </c>
      <c r="AV357" s="203"/>
      <c r="AW357" s="251">
        <f t="shared" ref="AW357:AW362" si="463">R357*S357</f>
        <v>6687.25</v>
      </c>
      <c r="AX357" s="251"/>
    </row>
    <row r="358" spans="2:50" s="76" customFormat="1" ht="58.5">
      <c r="B358" s="703">
        <f>1+B357</f>
        <v>241</v>
      </c>
      <c r="C358" s="197" t="s">
        <v>1148</v>
      </c>
      <c r="D358" s="198" t="s">
        <v>1373</v>
      </c>
      <c r="E358" s="703" t="s">
        <v>1158</v>
      </c>
      <c r="F358" s="206">
        <v>9</v>
      </c>
      <c r="G358" s="199">
        <v>5527</v>
      </c>
      <c r="H358" s="736"/>
      <c r="I358" s="199"/>
      <c r="J358" s="737"/>
      <c r="K358" s="201"/>
      <c r="L358" s="201"/>
      <c r="M358" s="736"/>
      <c r="N358" s="199"/>
      <c r="O358" s="737">
        <v>0.15</v>
      </c>
      <c r="P358" s="204">
        <f>G358*O358</f>
        <v>829.05</v>
      </c>
      <c r="Q358" s="206"/>
      <c r="R358" s="199">
        <f t="shared" si="444"/>
        <v>6356.05</v>
      </c>
      <c r="S358" s="199">
        <v>1</v>
      </c>
      <c r="T358" s="199"/>
      <c r="U358" s="206"/>
      <c r="V358" s="741"/>
      <c r="W358" s="206"/>
      <c r="X358" s="718">
        <v>18</v>
      </c>
      <c r="Y358" s="737">
        <v>0.2</v>
      </c>
      <c r="Z358" s="199">
        <f t="shared" si="445"/>
        <v>1271.21</v>
      </c>
      <c r="AA358" s="199">
        <f>AH358</f>
        <v>372.73999999999978</v>
      </c>
      <c r="AB358" s="796">
        <f t="shared" si="446"/>
        <v>8000</v>
      </c>
      <c r="AC358" s="738">
        <f t="shared" si="447"/>
        <v>5500</v>
      </c>
      <c r="AD358" s="738">
        <f t="shared" si="448"/>
        <v>13500</v>
      </c>
      <c r="AE358" s="202">
        <f t="shared" si="449"/>
        <v>13500</v>
      </c>
      <c r="AF358" s="202">
        <f t="shared" si="450"/>
        <v>5500</v>
      </c>
      <c r="AG358" s="738">
        <f t="shared" si="451"/>
        <v>8000</v>
      </c>
      <c r="AH358" s="202">
        <f t="shared" si="452"/>
        <v>372.73999999999978</v>
      </c>
      <c r="AI358" s="203">
        <f t="shared" si="453"/>
        <v>5527</v>
      </c>
      <c r="AJ358" s="203">
        <f t="shared" si="454"/>
        <v>0</v>
      </c>
      <c r="AK358" s="203">
        <f t="shared" si="455"/>
        <v>6356.05</v>
      </c>
      <c r="AL358" s="203">
        <f t="shared" si="456"/>
        <v>0</v>
      </c>
      <c r="AM358" s="203">
        <f t="shared" si="457"/>
        <v>829.05000000000018</v>
      </c>
      <c r="AN358" s="203">
        <f t="shared" si="457"/>
        <v>0</v>
      </c>
      <c r="AO358" s="205">
        <f t="shared" si="458"/>
        <v>1271.21</v>
      </c>
      <c r="AP358" s="205">
        <f t="shared" si="459"/>
        <v>0</v>
      </c>
      <c r="AQ358" s="205">
        <f t="shared" si="460"/>
        <v>372.73999999999978</v>
      </c>
      <c r="AR358" s="205">
        <f t="shared" si="461"/>
        <v>0</v>
      </c>
      <c r="AS358" s="205">
        <f t="shared" si="462"/>
        <v>0</v>
      </c>
      <c r="AT358" s="209">
        <f t="shared" si="442"/>
        <v>6356.05</v>
      </c>
      <c r="AU358" s="209">
        <f t="shared" si="442"/>
        <v>0</v>
      </c>
      <c r="AV358" s="203"/>
      <c r="AW358" s="251">
        <f t="shared" si="463"/>
        <v>6356.05</v>
      </c>
      <c r="AX358" s="251"/>
    </row>
    <row r="359" spans="2:50" s="76" customFormat="1" ht="51" customHeight="1">
      <c r="B359" s="703">
        <f>1+B358</f>
        <v>242</v>
      </c>
      <c r="C359" s="197" t="s">
        <v>1148</v>
      </c>
      <c r="D359" s="198" t="s">
        <v>204</v>
      </c>
      <c r="E359" s="703" t="s">
        <v>1159</v>
      </c>
      <c r="F359" s="206">
        <v>8</v>
      </c>
      <c r="G359" s="199">
        <v>5240</v>
      </c>
      <c r="H359" s="736"/>
      <c r="I359" s="199"/>
      <c r="J359" s="736"/>
      <c r="K359" s="199"/>
      <c r="L359" s="199"/>
      <c r="M359" s="736"/>
      <c r="N359" s="199"/>
      <c r="O359" s="737">
        <v>0.15</v>
      </c>
      <c r="P359" s="204">
        <f>G359*O359</f>
        <v>786</v>
      </c>
      <c r="Q359" s="199"/>
      <c r="R359" s="199">
        <f t="shared" si="444"/>
        <v>6026</v>
      </c>
      <c r="S359" s="199">
        <v>1</v>
      </c>
      <c r="T359" s="199"/>
      <c r="U359" s="199"/>
      <c r="V359" s="736"/>
      <c r="W359" s="199"/>
      <c r="X359" s="718">
        <v>10</v>
      </c>
      <c r="Y359" s="737">
        <v>0.2</v>
      </c>
      <c r="Z359" s="199">
        <f t="shared" si="445"/>
        <v>1205.2</v>
      </c>
      <c r="AA359" s="199">
        <f>AH359</f>
        <v>768.80000000000018</v>
      </c>
      <c r="AB359" s="796">
        <f t="shared" si="446"/>
        <v>8000</v>
      </c>
      <c r="AC359" s="738">
        <f t="shared" si="447"/>
        <v>5500</v>
      </c>
      <c r="AD359" s="738">
        <f t="shared" si="448"/>
        <v>13500</v>
      </c>
      <c r="AE359" s="202">
        <f t="shared" si="449"/>
        <v>13500</v>
      </c>
      <c r="AF359" s="202">
        <f t="shared" si="450"/>
        <v>5500</v>
      </c>
      <c r="AG359" s="738">
        <f t="shared" si="451"/>
        <v>8000</v>
      </c>
      <c r="AH359" s="202">
        <f t="shared" si="452"/>
        <v>768.80000000000018</v>
      </c>
      <c r="AI359" s="203">
        <f t="shared" si="453"/>
        <v>5240</v>
      </c>
      <c r="AJ359" s="203">
        <f t="shared" si="454"/>
        <v>0</v>
      </c>
      <c r="AK359" s="203">
        <f t="shared" si="455"/>
        <v>6026</v>
      </c>
      <c r="AL359" s="203">
        <f t="shared" si="456"/>
        <v>0</v>
      </c>
      <c r="AM359" s="203">
        <f t="shared" si="457"/>
        <v>786</v>
      </c>
      <c r="AN359" s="203">
        <f t="shared" si="457"/>
        <v>0</v>
      </c>
      <c r="AO359" s="205">
        <f t="shared" si="458"/>
        <v>1205.2</v>
      </c>
      <c r="AP359" s="205">
        <f t="shared" si="459"/>
        <v>0</v>
      </c>
      <c r="AQ359" s="205">
        <f t="shared" si="460"/>
        <v>768.80000000000018</v>
      </c>
      <c r="AR359" s="205">
        <f t="shared" si="461"/>
        <v>0</v>
      </c>
      <c r="AS359" s="205">
        <f t="shared" si="462"/>
        <v>0</v>
      </c>
      <c r="AT359" s="209">
        <f t="shared" si="442"/>
        <v>6026</v>
      </c>
      <c r="AU359" s="209">
        <f t="shared" si="442"/>
        <v>0</v>
      </c>
      <c r="AV359" s="203"/>
      <c r="AW359" s="251">
        <f t="shared" si="463"/>
        <v>6026</v>
      </c>
      <c r="AX359" s="251"/>
    </row>
    <row r="360" spans="2:50" s="76" customFormat="1" ht="51" customHeight="1">
      <c r="B360" s="703">
        <f>1+B359</f>
        <v>243</v>
      </c>
      <c r="C360" s="197" t="s">
        <v>1148</v>
      </c>
      <c r="D360" s="198" t="s">
        <v>1370</v>
      </c>
      <c r="E360" s="703" t="s">
        <v>1149</v>
      </c>
      <c r="F360" s="703">
        <v>10</v>
      </c>
      <c r="G360" s="199">
        <v>5815</v>
      </c>
      <c r="H360" s="736"/>
      <c r="I360" s="199"/>
      <c r="J360" s="736"/>
      <c r="K360" s="199"/>
      <c r="L360" s="199"/>
      <c r="M360" s="736"/>
      <c r="N360" s="199"/>
      <c r="O360" s="737">
        <v>0.15</v>
      </c>
      <c r="P360" s="199">
        <f>(G360+I360)*O360</f>
        <v>872.25</v>
      </c>
      <c r="Q360" s="199"/>
      <c r="R360" s="199">
        <f t="shared" si="444"/>
        <v>6687.25</v>
      </c>
      <c r="S360" s="199">
        <v>1</v>
      </c>
      <c r="T360" s="199"/>
      <c r="U360" s="199"/>
      <c r="V360" s="736"/>
      <c r="W360" s="199"/>
      <c r="X360" s="718">
        <v>40</v>
      </c>
      <c r="Y360" s="737">
        <v>0.3</v>
      </c>
      <c r="Z360" s="199">
        <f t="shared" si="445"/>
        <v>2006.175</v>
      </c>
      <c r="AA360" s="199"/>
      <c r="AB360" s="796">
        <f t="shared" si="446"/>
        <v>8693.4249999999993</v>
      </c>
      <c r="AC360" s="738">
        <f t="shared" si="447"/>
        <v>4806.5750000000007</v>
      </c>
      <c r="AD360" s="738">
        <f t="shared" si="448"/>
        <v>13500</v>
      </c>
      <c r="AE360" s="202">
        <f t="shared" si="449"/>
        <v>13500</v>
      </c>
      <c r="AF360" s="202">
        <f t="shared" si="450"/>
        <v>4806.5750000000007</v>
      </c>
      <c r="AG360" s="738">
        <f t="shared" si="451"/>
        <v>8000</v>
      </c>
      <c r="AH360" s="202">
        <f t="shared" si="452"/>
        <v>-693.42499999999927</v>
      </c>
      <c r="AI360" s="203">
        <f t="shared" si="453"/>
        <v>5815</v>
      </c>
      <c r="AJ360" s="203">
        <f t="shared" si="454"/>
        <v>0</v>
      </c>
      <c r="AK360" s="203">
        <f t="shared" si="455"/>
        <v>6687.25</v>
      </c>
      <c r="AL360" s="203">
        <f t="shared" si="456"/>
        <v>0</v>
      </c>
      <c r="AM360" s="203">
        <f t="shared" si="457"/>
        <v>872.25</v>
      </c>
      <c r="AN360" s="203">
        <f t="shared" si="457"/>
        <v>0</v>
      </c>
      <c r="AO360" s="205">
        <f t="shared" si="458"/>
        <v>2006.175</v>
      </c>
      <c r="AP360" s="205">
        <f t="shared" si="459"/>
        <v>0</v>
      </c>
      <c r="AQ360" s="205">
        <f t="shared" si="460"/>
        <v>0</v>
      </c>
      <c r="AR360" s="205">
        <f t="shared" si="461"/>
        <v>0</v>
      </c>
      <c r="AS360" s="205">
        <f t="shared" si="462"/>
        <v>0</v>
      </c>
      <c r="AT360" s="209">
        <f t="shared" si="442"/>
        <v>6687.25</v>
      </c>
      <c r="AU360" s="209">
        <f t="shared" si="442"/>
        <v>0</v>
      </c>
      <c r="AV360" s="203"/>
      <c r="AW360" s="251">
        <f t="shared" si="463"/>
        <v>6687.25</v>
      </c>
      <c r="AX360" s="251"/>
    </row>
    <row r="361" spans="2:50" s="76" customFormat="1" ht="51" customHeight="1">
      <c r="B361" s="703">
        <f>1+B360</f>
        <v>244</v>
      </c>
      <c r="C361" s="197" t="s">
        <v>1148</v>
      </c>
      <c r="D361" s="198" t="s">
        <v>1150</v>
      </c>
      <c r="E361" s="703" t="s">
        <v>1151</v>
      </c>
      <c r="F361" s="703">
        <v>10</v>
      </c>
      <c r="G361" s="199">
        <v>5815</v>
      </c>
      <c r="H361" s="736"/>
      <c r="I361" s="199"/>
      <c r="J361" s="736"/>
      <c r="K361" s="199"/>
      <c r="L361" s="199"/>
      <c r="M361" s="736"/>
      <c r="N361" s="199"/>
      <c r="O361" s="737">
        <v>0.15</v>
      </c>
      <c r="P361" s="199">
        <f>(G361+I361)*O361</f>
        <v>872.25</v>
      </c>
      <c r="Q361" s="199"/>
      <c r="R361" s="199">
        <f t="shared" si="444"/>
        <v>6687.25</v>
      </c>
      <c r="S361" s="199">
        <v>1</v>
      </c>
      <c r="T361" s="206"/>
      <c r="U361" s="206"/>
      <c r="V361" s="741"/>
      <c r="W361" s="206"/>
      <c r="X361" s="718">
        <v>36</v>
      </c>
      <c r="Y361" s="737">
        <v>0.3</v>
      </c>
      <c r="Z361" s="199">
        <f t="shared" si="445"/>
        <v>2006.175</v>
      </c>
      <c r="AA361" s="199"/>
      <c r="AB361" s="796">
        <f t="shared" si="446"/>
        <v>8693.4249999999993</v>
      </c>
      <c r="AC361" s="738">
        <f t="shared" si="447"/>
        <v>4806.5750000000007</v>
      </c>
      <c r="AD361" s="738">
        <f t="shared" si="448"/>
        <v>13500</v>
      </c>
      <c r="AE361" s="202">
        <f t="shared" si="449"/>
        <v>13500</v>
      </c>
      <c r="AF361" s="202">
        <f t="shared" si="450"/>
        <v>4806.5750000000007</v>
      </c>
      <c r="AG361" s="738">
        <f t="shared" si="451"/>
        <v>8000</v>
      </c>
      <c r="AH361" s="202">
        <f t="shared" si="452"/>
        <v>-693.42499999999927</v>
      </c>
      <c r="AI361" s="203">
        <f t="shared" si="453"/>
        <v>5815</v>
      </c>
      <c r="AJ361" s="203">
        <f t="shared" si="454"/>
        <v>0</v>
      </c>
      <c r="AK361" s="203">
        <f t="shared" si="455"/>
        <v>6687.25</v>
      </c>
      <c r="AL361" s="203">
        <f t="shared" si="456"/>
        <v>0</v>
      </c>
      <c r="AM361" s="203">
        <f t="shared" si="457"/>
        <v>872.25</v>
      </c>
      <c r="AN361" s="203">
        <f t="shared" si="457"/>
        <v>0</v>
      </c>
      <c r="AO361" s="205">
        <f t="shared" si="458"/>
        <v>2006.175</v>
      </c>
      <c r="AP361" s="205">
        <f t="shared" si="459"/>
        <v>0</v>
      </c>
      <c r="AQ361" s="205">
        <f t="shared" si="460"/>
        <v>0</v>
      </c>
      <c r="AR361" s="205">
        <f t="shared" si="461"/>
        <v>0</v>
      </c>
      <c r="AS361" s="205">
        <f t="shared" si="462"/>
        <v>0</v>
      </c>
      <c r="AT361" s="209">
        <f t="shared" si="442"/>
        <v>6687.25</v>
      </c>
      <c r="AU361" s="209">
        <f t="shared" si="442"/>
        <v>0</v>
      </c>
      <c r="AV361" s="203"/>
      <c r="AW361" s="251">
        <f t="shared" si="463"/>
        <v>6687.25</v>
      </c>
      <c r="AX361" s="251"/>
    </row>
    <row r="362" spans="2:50" s="76" customFormat="1" ht="51" customHeight="1">
      <c r="B362" s="703">
        <f>1+B361</f>
        <v>245</v>
      </c>
      <c r="C362" s="197" t="s">
        <v>1148</v>
      </c>
      <c r="D362" s="198" t="s">
        <v>1371</v>
      </c>
      <c r="E362" s="703" t="s">
        <v>1152</v>
      </c>
      <c r="F362" s="703">
        <v>10</v>
      </c>
      <c r="G362" s="199">
        <v>5815</v>
      </c>
      <c r="H362" s="736"/>
      <c r="I362" s="199"/>
      <c r="J362" s="736"/>
      <c r="K362" s="199"/>
      <c r="L362" s="199"/>
      <c r="M362" s="736"/>
      <c r="N362" s="199"/>
      <c r="O362" s="737">
        <v>0.15</v>
      </c>
      <c r="P362" s="199">
        <f>(G362+I362)*O362</f>
        <v>872.25</v>
      </c>
      <c r="Q362" s="199"/>
      <c r="R362" s="199">
        <f t="shared" si="444"/>
        <v>6687.25</v>
      </c>
      <c r="S362" s="199">
        <v>1</v>
      </c>
      <c r="T362" s="199"/>
      <c r="U362" s="199"/>
      <c r="V362" s="736"/>
      <c r="W362" s="199"/>
      <c r="X362" s="718">
        <v>34</v>
      </c>
      <c r="Y362" s="737">
        <v>0.3</v>
      </c>
      <c r="Z362" s="199">
        <f t="shared" si="445"/>
        <v>2006.175</v>
      </c>
      <c r="AA362" s="199"/>
      <c r="AB362" s="796">
        <f t="shared" si="446"/>
        <v>8693.4249999999993</v>
      </c>
      <c r="AC362" s="738">
        <f t="shared" si="447"/>
        <v>4806.5750000000007</v>
      </c>
      <c r="AD362" s="738">
        <f t="shared" si="448"/>
        <v>13500</v>
      </c>
      <c r="AE362" s="202">
        <f t="shared" si="449"/>
        <v>13500</v>
      </c>
      <c r="AF362" s="202">
        <f t="shared" si="450"/>
        <v>4806.5750000000007</v>
      </c>
      <c r="AG362" s="738">
        <f t="shared" si="451"/>
        <v>8000</v>
      </c>
      <c r="AH362" s="202">
        <f t="shared" si="452"/>
        <v>-693.42499999999927</v>
      </c>
      <c r="AI362" s="203">
        <f t="shared" si="453"/>
        <v>5815</v>
      </c>
      <c r="AJ362" s="203">
        <f t="shared" si="454"/>
        <v>0</v>
      </c>
      <c r="AK362" s="203">
        <f t="shared" si="455"/>
        <v>6687.25</v>
      </c>
      <c r="AL362" s="203">
        <f t="shared" si="456"/>
        <v>0</v>
      </c>
      <c r="AM362" s="203">
        <f t="shared" si="457"/>
        <v>872.25</v>
      </c>
      <c r="AN362" s="203">
        <f t="shared" si="457"/>
        <v>0</v>
      </c>
      <c r="AO362" s="205">
        <f t="shared" si="458"/>
        <v>2006.175</v>
      </c>
      <c r="AP362" s="205">
        <f t="shared" si="459"/>
        <v>0</v>
      </c>
      <c r="AQ362" s="205">
        <f t="shared" si="460"/>
        <v>0</v>
      </c>
      <c r="AR362" s="205">
        <f t="shared" si="461"/>
        <v>0</v>
      </c>
      <c r="AS362" s="205">
        <f t="shared" si="462"/>
        <v>0</v>
      </c>
      <c r="AT362" s="209">
        <f t="shared" si="442"/>
        <v>6687.25</v>
      </c>
      <c r="AU362" s="209">
        <f t="shared" si="442"/>
        <v>0</v>
      </c>
      <c r="AV362" s="203"/>
      <c r="AW362" s="251">
        <f t="shared" si="463"/>
        <v>6687.25</v>
      </c>
      <c r="AX362" s="251"/>
    </row>
    <row r="363" spans="2:50" s="76" customFormat="1" ht="31.5">
      <c r="B363" s="703"/>
      <c r="C363" s="180" t="s">
        <v>1736</v>
      </c>
      <c r="D363" s="207"/>
      <c r="E363" s="193"/>
      <c r="F363" s="193"/>
      <c r="G363" s="183">
        <f>SUM(G357:G362)</f>
        <v>34027</v>
      </c>
      <c r="H363" s="731"/>
      <c r="I363" s="193"/>
      <c r="J363" s="731"/>
      <c r="K363" s="193"/>
      <c r="L363" s="193"/>
      <c r="M363" s="731"/>
      <c r="N363" s="193"/>
      <c r="O363" s="731"/>
      <c r="P363" s="183">
        <f>SUM(P357:P362)</f>
        <v>5104.05</v>
      </c>
      <c r="Q363" s="193"/>
      <c r="R363" s="183">
        <f>SUM(R357:R362)</f>
        <v>39131.050000000003</v>
      </c>
      <c r="S363" s="183">
        <f>SUM(S357:S362)</f>
        <v>6</v>
      </c>
      <c r="T363" s="183">
        <f>SUM(T357:T362)</f>
        <v>0</v>
      </c>
      <c r="U363" s="183"/>
      <c r="V363" s="742"/>
      <c r="W363" s="183"/>
      <c r="X363" s="742"/>
      <c r="Y363" s="742"/>
      <c r="Z363" s="183">
        <f>SUM(Z357:Z362)</f>
        <v>10501.109999999999</v>
      </c>
      <c r="AA363" s="183">
        <f>SUM(AA357:AA362)</f>
        <v>1141.54</v>
      </c>
      <c r="AB363" s="797">
        <f>SUM(AB357:AB362)</f>
        <v>50773.7</v>
      </c>
      <c r="AC363" s="183">
        <f t="shared" ref="AC363:AV363" si="464">SUM(AC357:AC362)</f>
        <v>30226.300000000003</v>
      </c>
      <c r="AD363" s="183">
        <f>SUM(AD357:AD362)</f>
        <v>81000</v>
      </c>
      <c r="AE363" s="183">
        <f t="shared" si="464"/>
        <v>81000</v>
      </c>
      <c r="AF363" s="183">
        <f t="shared" si="464"/>
        <v>30226.300000000003</v>
      </c>
      <c r="AG363" s="183">
        <f t="shared" si="464"/>
        <v>48000</v>
      </c>
      <c r="AH363" s="183">
        <f t="shared" si="464"/>
        <v>-1632.1599999999971</v>
      </c>
      <c r="AI363" s="183">
        <f t="shared" si="464"/>
        <v>34027</v>
      </c>
      <c r="AJ363" s="183">
        <f t="shared" si="464"/>
        <v>0</v>
      </c>
      <c r="AK363" s="183">
        <f t="shared" si="464"/>
        <v>39131.050000000003</v>
      </c>
      <c r="AL363" s="183">
        <f t="shared" si="464"/>
        <v>0</v>
      </c>
      <c r="AM363" s="183">
        <f t="shared" si="464"/>
        <v>5104.05</v>
      </c>
      <c r="AN363" s="183">
        <f t="shared" si="464"/>
        <v>0</v>
      </c>
      <c r="AO363" s="183">
        <f t="shared" si="464"/>
        <v>10501.109999999999</v>
      </c>
      <c r="AP363" s="183">
        <f t="shared" si="464"/>
        <v>0</v>
      </c>
      <c r="AQ363" s="183">
        <f t="shared" si="464"/>
        <v>1141.54</v>
      </c>
      <c r="AR363" s="183">
        <f t="shared" si="464"/>
        <v>0</v>
      </c>
      <c r="AS363" s="183">
        <f t="shared" si="464"/>
        <v>0</v>
      </c>
      <c r="AT363" s="183">
        <f t="shared" si="464"/>
        <v>39131.050000000003</v>
      </c>
      <c r="AU363" s="183">
        <f t="shared" si="464"/>
        <v>0</v>
      </c>
      <c r="AV363" s="183">
        <f t="shared" si="464"/>
        <v>0</v>
      </c>
      <c r="AW363" s="183">
        <f>SUM(AW357:AW362)</f>
        <v>39131.050000000003</v>
      </c>
      <c r="AX363" s="183">
        <f>SUM(AX357:AX362)</f>
        <v>0</v>
      </c>
    </row>
    <row r="364" spans="2:50" s="76" customFormat="1" ht="33">
      <c r="B364" s="703"/>
      <c r="C364" s="220" t="s">
        <v>1874</v>
      </c>
      <c r="D364" s="207"/>
      <c r="E364" s="193"/>
      <c r="F364" s="193"/>
      <c r="G364" s="183"/>
      <c r="H364" s="752"/>
      <c r="I364" s="183"/>
      <c r="J364" s="731"/>
      <c r="K364" s="193"/>
      <c r="L364" s="193"/>
      <c r="M364" s="731"/>
      <c r="N364" s="193"/>
      <c r="O364" s="731"/>
      <c r="P364" s="193"/>
      <c r="Q364" s="193"/>
      <c r="R364" s="183"/>
      <c r="S364" s="183"/>
      <c r="T364" s="183"/>
      <c r="U364" s="183"/>
      <c r="V364" s="742"/>
      <c r="W364" s="183"/>
      <c r="X364" s="742"/>
      <c r="Y364" s="742"/>
      <c r="Z364" s="183"/>
      <c r="AA364" s="183"/>
      <c r="AB364" s="797"/>
      <c r="AC364" s="208"/>
      <c r="AD364" s="208"/>
      <c r="AE364" s="208"/>
      <c r="AF364" s="208"/>
      <c r="AG364" s="208"/>
      <c r="AH364" s="208"/>
      <c r="AI364" s="203"/>
      <c r="AJ364" s="203"/>
      <c r="AK364" s="203"/>
      <c r="AL364" s="203"/>
      <c r="AM364" s="203"/>
      <c r="AN364" s="203"/>
      <c r="AO364" s="205"/>
      <c r="AP364" s="205"/>
      <c r="AQ364" s="205"/>
      <c r="AR364" s="205"/>
      <c r="AS364" s="205"/>
      <c r="AT364" s="209"/>
      <c r="AU364" s="209"/>
      <c r="AV364" s="203"/>
      <c r="AW364" s="251"/>
      <c r="AX364" s="251"/>
    </row>
    <row r="365" spans="2:50" s="76" customFormat="1" ht="94.5">
      <c r="B365" s="703">
        <f>B362+1</f>
        <v>246</v>
      </c>
      <c r="C365" s="197" t="s">
        <v>1188</v>
      </c>
      <c r="D365" s="198"/>
      <c r="E365" s="703" t="s">
        <v>205</v>
      </c>
      <c r="F365" s="703">
        <v>3</v>
      </c>
      <c r="G365" s="199">
        <v>3770</v>
      </c>
      <c r="H365" s="736"/>
      <c r="I365" s="199"/>
      <c r="J365" s="736"/>
      <c r="K365" s="199"/>
      <c r="L365" s="199"/>
      <c r="M365" s="736"/>
      <c r="N365" s="199"/>
      <c r="O365" s="736"/>
      <c r="P365" s="199"/>
      <c r="Q365" s="199"/>
      <c r="R365" s="199">
        <f>G365+I365+K365+L365+N365+P365+Q365</f>
        <v>3770</v>
      </c>
      <c r="S365" s="199">
        <v>1</v>
      </c>
      <c r="T365" s="199"/>
      <c r="U365" s="199"/>
      <c r="V365" s="737">
        <v>0.1</v>
      </c>
      <c r="W365" s="199">
        <f>R365*V365</f>
        <v>377</v>
      </c>
      <c r="X365" s="718"/>
      <c r="Y365" s="737"/>
      <c r="Z365" s="199"/>
      <c r="AA365" s="199">
        <f>AH365</f>
        <v>4230</v>
      </c>
      <c r="AB365" s="796">
        <f>(R365+Z365+U365+W365)*S365+AA365</f>
        <v>8377</v>
      </c>
      <c r="AC365" s="738">
        <f>AF365</f>
        <v>0</v>
      </c>
      <c r="AD365" s="738">
        <f>AB365+AC365</f>
        <v>8377</v>
      </c>
      <c r="AE365" s="202">
        <f>AB365</f>
        <v>8377</v>
      </c>
      <c r="AF365" s="202">
        <f>AE365-AB365</f>
        <v>0</v>
      </c>
      <c r="AG365" s="738">
        <f>8000*S365</f>
        <v>8000</v>
      </c>
      <c r="AH365" s="202">
        <f>AG365-(R365+Z365)*S365</f>
        <v>4230</v>
      </c>
      <c r="AI365" s="203">
        <f>G365*S365</f>
        <v>3770</v>
      </c>
      <c r="AJ365" s="203">
        <f>G365*T365</f>
        <v>0</v>
      </c>
      <c r="AK365" s="203">
        <f>R365*S365</f>
        <v>3770</v>
      </c>
      <c r="AL365" s="203">
        <f>R365*T365</f>
        <v>0</v>
      </c>
      <c r="AM365" s="203">
        <f>AK365-AI365</f>
        <v>0</v>
      </c>
      <c r="AN365" s="203">
        <f>AL365-AJ365</f>
        <v>0</v>
      </c>
      <c r="AO365" s="205">
        <f>Z365*S365</f>
        <v>0</v>
      </c>
      <c r="AP365" s="205">
        <f>Z365*T365</f>
        <v>0</v>
      </c>
      <c r="AQ365" s="205">
        <f>AA365</f>
        <v>4230</v>
      </c>
      <c r="AR365" s="205">
        <f>W365*S365</f>
        <v>377</v>
      </c>
      <c r="AS365" s="205">
        <f>W365*T365</f>
        <v>0</v>
      </c>
      <c r="AT365" s="209">
        <f t="shared" si="442"/>
        <v>3770</v>
      </c>
      <c r="AU365" s="209">
        <f t="shared" si="442"/>
        <v>0</v>
      </c>
      <c r="AV365" s="203"/>
      <c r="AW365" s="251">
        <f>R365*S365</f>
        <v>3770</v>
      </c>
      <c r="AX365" s="251"/>
    </row>
    <row r="366" spans="2:50" s="76" customFormat="1" ht="31.5">
      <c r="B366" s="703"/>
      <c r="C366" s="180" t="s">
        <v>1736</v>
      </c>
      <c r="D366" s="207"/>
      <c r="E366" s="193"/>
      <c r="F366" s="193"/>
      <c r="G366" s="183">
        <f>SUM(G365)</f>
        <v>3770</v>
      </c>
      <c r="H366" s="742"/>
      <c r="I366" s="183"/>
      <c r="J366" s="742"/>
      <c r="K366" s="183"/>
      <c r="L366" s="183"/>
      <c r="M366" s="742"/>
      <c r="N366" s="183"/>
      <c r="O366" s="742"/>
      <c r="P366" s="183"/>
      <c r="Q366" s="183"/>
      <c r="R366" s="183">
        <f t="shared" ref="R366:AX366" si="465">SUM(R365)</f>
        <v>3770</v>
      </c>
      <c r="S366" s="183">
        <f t="shared" si="465"/>
        <v>1</v>
      </c>
      <c r="T366" s="183">
        <f t="shared" si="465"/>
        <v>0</v>
      </c>
      <c r="U366" s="183"/>
      <c r="V366" s="742"/>
      <c r="W366" s="183">
        <f t="shared" si="465"/>
        <v>377</v>
      </c>
      <c r="X366" s="742"/>
      <c r="Y366" s="742"/>
      <c r="Z366" s="183">
        <f t="shared" si="465"/>
        <v>0</v>
      </c>
      <c r="AA366" s="183">
        <f t="shared" si="465"/>
        <v>4230</v>
      </c>
      <c r="AB366" s="797">
        <f t="shared" si="465"/>
        <v>8377</v>
      </c>
      <c r="AC366" s="183">
        <f t="shared" si="465"/>
        <v>0</v>
      </c>
      <c r="AD366" s="183">
        <f>SUM(AD365)</f>
        <v>8377</v>
      </c>
      <c r="AE366" s="183">
        <f t="shared" si="465"/>
        <v>8377</v>
      </c>
      <c r="AF366" s="183">
        <f t="shared" si="465"/>
        <v>0</v>
      </c>
      <c r="AG366" s="183">
        <f>SUM(AG365)</f>
        <v>8000</v>
      </c>
      <c r="AH366" s="183">
        <f>SUM(AH365)</f>
        <v>4230</v>
      </c>
      <c r="AI366" s="183">
        <f t="shared" si="465"/>
        <v>3770</v>
      </c>
      <c r="AJ366" s="183">
        <f t="shared" si="465"/>
        <v>0</v>
      </c>
      <c r="AK366" s="183">
        <f t="shared" si="465"/>
        <v>3770</v>
      </c>
      <c r="AL366" s="183">
        <f t="shared" si="465"/>
        <v>0</v>
      </c>
      <c r="AM366" s="183">
        <f t="shared" si="465"/>
        <v>0</v>
      </c>
      <c r="AN366" s="183">
        <f t="shared" si="465"/>
        <v>0</v>
      </c>
      <c r="AO366" s="183">
        <f t="shared" si="465"/>
        <v>0</v>
      </c>
      <c r="AP366" s="183">
        <f t="shared" si="465"/>
        <v>0</v>
      </c>
      <c r="AQ366" s="183">
        <f t="shared" si="465"/>
        <v>4230</v>
      </c>
      <c r="AR366" s="183">
        <f t="shared" si="465"/>
        <v>377</v>
      </c>
      <c r="AS366" s="183">
        <f t="shared" si="465"/>
        <v>0</v>
      </c>
      <c r="AT366" s="183">
        <f t="shared" si="465"/>
        <v>3770</v>
      </c>
      <c r="AU366" s="183">
        <f t="shared" si="465"/>
        <v>0</v>
      </c>
      <c r="AV366" s="183">
        <f t="shared" si="465"/>
        <v>0</v>
      </c>
      <c r="AW366" s="183">
        <f t="shared" si="465"/>
        <v>3770</v>
      </c>
      <c r="AX366" s="183">
        <f t="shared" si="465"/>
        <v>0</v>
      </c>
    </row>
    <row r="367" spans="2:50" s="76" customFormat="1" ht="31.5">
      <c r="B367" s="703"/>
      <c r="C367" s="180" t="s">
        <v>1278</v>
      </c>
      <c r="D367" s="207"/>
      <c r="E367" s="193"/>
      <c r="F367" s="193"/>
      <c r="G367" s="183">
        <f>G355+G363+G366</f>
        <v>52303</v>
      </c>
      <c r="H367" s="742"/>
      <c r="I367" s="183">
        <f t="shared" ref="I367:AX367" si="466">I355+I363+I366</f>
        <v>725.30000000000007</v>
      </c>
      <c r="J367" s="742"/>
      <c r="K367" s="183"/>
      <c r="L367" s="183"/>
      <c r="M367" s="742"/>
      <c r="N367" s="183"/>
      <c r="O367" s="742"/>
      <c r="P367" s="183">
        <f t="shared" si="466"/>
        <v>7388.7449999999999</v>
      </c>
      <c r="Q367" s="183"/>
      <c r="R367" s="183">
        <f t="shared" si="466"/>
        <v>60417.045000000006</v>
      </c>
      <c r="S367" s="183">
        <f>S355+S363+S366</f>
        <v>9</v>
      </c>
      <c r="T367" s="183">
        <f t="shared" si="466"/>
        <v>0</v>
      </c>
      <c r="U367" s="183"/>
      <c r="V367" s="742"/>
      <c r="W367" s="183">
        <f t="shared" si="466"/>
        <v>377</v>
      </c>
      <c r="X367" s="742"/>
      <c r="Y367" s="742"/>
      <c r="Z367" s="183">
        <f>Z355+Z363+Z366</f>
        <v>15755.9085</v>
      </c>
      <c r="AA367" s="183">
        <f>AA355+AA363+AA366</f>
        <v>5371.54</v>
      </c>
      <c r="AB367" s="797">
        <f t="shared" si="466"/>
        <v>81921.493499999997</v>
      </c>
      <c r="AC367" s="183">
        <f t="shared" si="466"/>
        <v>47455.506500000003</v>
      </c>
      <c r="AD367" s="183">
        <f>AD355+AD363+AD366</f>
        <v>129377</v>
      </c>
      <c r="AE367" s="183">
        <f t="shared" si="466"/>
        <v>129377</v>
      </c>
      <c r="AF367" s="183">
        <f t="shared" si="466"/>
        <v>47455.506500000003</v>
      </c>
      <c r="AG367" s="183">
        <f>AG355+AG363+AG366</f>
        <v>72000</v>
      </c>
      <c r="AH367" s="183">
        <f>AH355+AH363+AH366</f>
        <v>-4172.953499999996</v>
      </c>
      <c r="AI367" s="183">
        <f t="shared" si="466"/>
        <v>52303</v>
      </c>
      <c r="AJ367" s="183">
        <f t="shared" si="466"/>
        <v>0</v>
      </c>
      <c r="AK367" s="183">
        <f t="shared" si="466"/>
        <v>60417.045000000006</v>
      </c>
      <c r="AL367" s="183">
        <f t="shared" si="466"/>
        <v>0</v>
      </c>
      <c r="AM367" s="183">
        <f t="shared" si="466"/>
        <v>8114.045000000001</v>
      </c>
      <c r="AN367" s="183">
        <f t="shared" si="466"/>
        <v>0</v>
      </c>
      <c r="AO367" s="183">
        <f t="shared" si="466"/>
        <v>15755.9085</v>
      </c>
      <c r="AP367" s="183">
        <f t="shared" si="466"/>
        <v>0</v>
      </c>
      <c r="AQ367" s="183">
        <f t="shared" si="466"/>
        <v>5371.54</v>
      </c>
      <c r="AR367" s="183">
        <f t="shared" si="466"/>
        <v>377</v>
      </c>
      <c r="AS367" s="183">
        <f t="shared" si="466"/>
        <v>0</v>
      </c>
      <c r="AT367" s="183">
        <f t="shared" si="466"/>
        <v>60417.045000000006</v>
      </c>
      <c r="AU367" s="183">
        <f t="shared" si="466"/>
        <v>0</v>
      </c>
      <c r="AV367" s="183">
        <f t="shared" si="466"/>
        <v>0</v>
      </c>
      <c r="AW367" s="183">
        <f t="shared" si="466"/>
        <v>60417.045000000006</v>
      </c>
      <c r="AX367" s="183">
        <f t="shared" si="466"/>
        <v>0</v>
      </c>
    </row>
    <row r="368" spans="2:50" s="76" customFormat="1" ht="33">
      <c r="B368" s="703"/>
      <c r="C368" s="191" t="s">
        <v>1882</v>
      </c>
      <c r="D368" s="192"/>
      <c r="E368" s="193"/>
      <c r="F368" s="193"/>
      <c r="G368" s="193"/>
      <c r="H368" s="731"/>
      <c r="I368" s="193"/>
      <c r="J368" s="731"/>
      <c r="K368" s="193"/>
      <c r="L368" s="193"/>
      <c r="M368" s="731"/>
      <c r="N368" s="193"/>
      <c r="O368" s="731"/>
      <c r="P368" s="193"/>
      <c r="Q368" s="193"/>
      <c r="R368" s="193"/>
      <c r="S368" s="193"/>
      <c r="T368" s="193"/>
      <c r="U368" s="193"/>
      <c r="V368" s="732"/>
      <c r="W368" s="193"/>
      <c r="X368" s="732"/>
      <c r="Y368" s="732"/>
      <c r="Z368" s="193"/>
      <c r="AA368" s="193"/>
      <c r="AB368" s="795"/>
      <c r="AC368" s="195"/>
      <c r="AD368" s="195"/>
      <c r="AE368" s="195"/>
      <c r="AF368" s="195"/>
      <c r="AG368" s="195"/>
      <c r="AH368" s="195"/>
      <c r="AI368" s="203"/>
      <c r="AJ368" s="203"/>
      <c r="AK368" s="203"/>
      <c r="AL368" s="203"/>
      <c r="AM368" s="203"/>
      <c r="AN368" s="203"/>
      <c r="AO368" s="205"/>
      <c r="AP368" s="205"/>
      <c r="AQ368" s="205"/>
      <c r="AR368" s="205"/>
      <c r="AS368" s="205"/>
      <c r="AT368" s="209"/>
      <c r="AU368" s="209"/>
      <c r="AV368" s="203"/>
      <c r="AW368" s="251"/>
      <c r="AX368" s="251"/>
    </row>
    <row r="369" spans="2:53" s="76" customFormat="1" ht="33">
      <c r="B369" s="703"/>
      <c r="C369" s="220" t="s">
        <v>1382</v>
      </c>
      <c r="D369" s="217"/>
      <c r="E369" s="218"/>
      <c r="F369" s="218"/>
      <c r="G369" s="218"/>
      <c r="H369" s="745"/>
      <c r="I369" s="218"/>
      <c r="J369" s="745"/>
      <c r="K369" s="218"/>
      <c r="L369" s="218"/>
      <c r="M369" s="745"/>
      <c r="N369" s="218"/>
      <c r="O369" s="745"/>
      <c r="P369" s="218"/>
      <c r="Q369" s="218"/>
      <c r="R369" s="218"/>
      <c r="S369" s="218"/>
      <c r="T369" s="218"/>
      <c r="U369" s="218"/>
      <c r="V369" s="746"/>
      <c r="W369" s="218"/>
      <c r="X369" s="746"/>
      <c r="Y369" s="746"/>
      <c r="Z369" s="218"/>
      <c r="AA369" s="218"/>
      <c r="AB369" s="799"/>
      <c r="AC369" s="219"/>
      <c r="AD369" s="219"/>
      <c r="AE369" s="219"/>
      <c r="AF369" s="219"/>
      <c r="AG369" s="219"/>
      <c r="AH369" s="219"/>
      <c r="AI369" s="203"/>
      <c r="AJ369" s="203"/>
      <c r="AK369" s="203"/>
      <c r="AL369" s="203"/>
      <c r="AM369" s="203"/>
      <c r="AN369" s="203"/>
      <c r="AO369" s="205"/>
      <c r="AP369" s="205"/>
      <c r="AQ369" s="205"/>
      <c r="AR369" s="205"/>
      <c r="AS369" s="205"/>
      <c r="AT369" s="209"/>
      <c r="AU369" s="209"/>
      <c r="AV369" s="203"/>
      <c r="AW369" s="251"/>
      <c r="AX369" s="251"/>
      <c r="BA369" s="77"/>
    </row>
    <row r="370" spans="2:53" s="76" customFormat="1" ht="58.5">
      <c r="B370" s="703">
        <f>B365+1</f>
        <v>247</v>
      </c>
      <c r="C370" s="197" t="s">
        <v>1051</v>
      </c>
      <c r="D370" s="198" t="s">
        <v>1052</v>
      </c>
      <c r="E370" s="703" t="s">
        <v>1053</v>
      </c>
      <c r="F370" s="703">
        <v>12</v>
      </c>
      <c r="G370" s="199">
        <v>6773</v>
      </c>
      <c r="H370" s="718"/>
      <c r="I370" s="703"/>
      <c r="J370" s="718"/>
      <c r="K370" s="703"/>
      <c r="L370" s="703"/>
      <c r="M370" s="718"/>
      <c r="N370" s="222"/>
      <c r="O370" s="737">
        <v>0.15</v>
      </c>
      <c r="P370" s="204">
        <f>G370*O370</f>
        <v>1015.9499999999999</v>
      </c>
      <c r="Q370" s="201"/>
      <c r="R370" s="199">
        <f>G370+I370+K370+L370+N370+P370+Q370</f>
        <v>7788.95</v>
      </c>
      <c r="S370" s="199"/>
      <c r="T370" s="199">
        <v>0.5</v>
      </c>
      <c r="U370" s="703"/>
      <c r="V370" s="718"/>
      <c r="W370" s="703"/>
      <c r="X370" s="718">
        <v>14</v>
      </c>
      <c r="Y370" s="737">
        <v>0.2</v>
      </c>
      <c r="Z370" s="199">
        <f>R370*Y370</f>
        <v>1557.79</v>
      </c>
      <c r="AA370" s="199"/>
      <c r="AB370" s="796">
        <f>(R370+Z370)*T370+AA370</f>
        <v>4673.37</v>
      </c>
      <c r="AC370" s="738">
        <f>AF370</f>
        <v>5326.63</v>
      </c>
      <c r="AD370" s="738">
        <f>AB370+AC370</f>
        <v>10000</v>
      </c>
      <c r="AE370" s="202">
        <f>20000*T370</f>
        <v>10000</v>
      </c>
      <c r="AF370" s="202">
        <f>AE370-AB370</f>
        <v>5326.63</v>
      </c>
      <c r="AG370" s="738">
        <f>8000*T370</f>
        <v>4000</v>
      </c>
      <c r="AH370" s="202">
        <f>AG370-(R370+Z370)*T370</f>
        <v>-673.36999999999989</v>
      </c>
      <c r="AI370" s="203">
        <f>G370*S370</f>
        <v>0</v>
      </c>
      <c r="AJ370" s="203">
        <f>G370*T370</f>
        <v>3386.5</v>
      </c>
      <c r="AK370" s="203">
        <f>R370*S370</f>
        <v>0</v>
      </c>
      <c r="AL370" s="203">
        <f>R370*T370</f>
        <v>3894.4749999999999</v>
      </c>
      <c r="AM370" s="203">
        <f>AK370-AI370</f>
        <v>0</v>
      </c>
      <c r="AN370" s="203">
        <f>AL370-AJ370</f>
        <v>507.97499999999991</v>
      </c>
      <c r="AO370" s="205">
        <f>Z370*S370</f>
        <v>0</v>
      </c>
      <c r="AP370" s="205">
        <f>Z370*T370</f>
        <v>778.89499999999998</v>
      </c>
      <c r="AQ370" s="205">
        <f>AA370</f>
        <v>0</v>
      </c>
      <c r="AR370" s="205">
        <f>W370*S370</f>
        <v>0</v>
      </c>
      <c r="AS370" s="205">
        <f>W370*T370</f>
        <v>0</v>
      </c>
      <c r="AT370" s="209">
        <f t="shared" si="442"/>
        <v>0</v>
      </c>
      <c r="AU370" s="209">
        <f t="shared" si="442"/>
        <v>3894.4749999999999</v>
      </c>
      <c r="AV370" s="203"/>
      <c r="AW370" s="251">
        <f>R370*T370</f>
        <v>3894.4749999999999</v>
      </c>
      <c r="AX370" s="251"/>
    </row>
    <row r="371" spans="2:53" s="76" customFormat="1" ht="33">
      <c r="B371" s="703"/>
      <c r="C371" s="180" t="s">
        <v>1736</v>
      </c>
      <c r="D371" s="207"/>
      <c r="E371" s="193"/>
      <c r="F371" s="193"/>
      <c r="G371" s="183">
        <f>SUM(G370:G370)</f>
        <v>6773</v>
      </c>
      <c r="H371" s="752"/>
      <c r="I371" s="183"/>
      <c r="J371" s="752"/>
      <c r="K371" s="183"/>
      <c r="L371" s="183"/>
      <c r="M371" s="752"/>
      <c r="N371" s="183"/>
      <c r="O371" s="752"/>
      <c r="P371" s="183">
        <f>SUM(P370:P370)</f>
        <v>1015.9499999999999</v>
      </c>
      <c r="Q371" s="183"/>
      <c r="R371" s="183">
        <f>SUM(R370:R370)</f>
        <v>7788.95</v>
      </c>
      <c r="S371" s="183">
        <f>SUM(S370:S370)</f>
        <v>0</v>
      </c>
      <c r="T371" s="183">
        <f>SUM(T370:T370)</f>
        <v>0.5</v>
      </c>
      <c r="U371" s="183"/>
      <c r="V371" s="742"/>
      <c r="W371" s="183"/>
      <c r="X371" s="742"/>
      <c r="Y371" s="742"/>
      <c r="Z371" s="183">
        <f t="shared" ref="Z371:AW371" si="467">SUM(Z370:Z370)</f>
        <v>1557.79</v>
      </c>
      <c r="AA371" s="183">
        <f t="shared" si="467"/>
        <v>0</v>
      </c>
      <c r="AB371" s="797">
        <f t="shared" si="467"/>
        <v>4673.37</v>
      </c>
      <c r="AC371" s="183">
        <f t="shared" si="467"/>
        <v>5326.63</v>
      </c>
      <c r="AD371" s="183">
        <f t="shared" si="467"/>
        <v>10000</v>
      </c>
      <c r="AE371" s="183">
        <f t="shared" si="467"/>
        <v>10000</v>
      </c>
      <c r="AF371" s="183">
        <f t="shared" si="467"/>
        <v>5326.63</v>
      </c>
      <c r="AG371" s="183">
        <f>SUM(AG370:AG370)</f>
        <v>4000</v>
      </c>
      <c r="AH371" s="183">
        <f t="shared" si="467"/>
        <v>-673.36999999999989</v>
      </c>
      <c r="AI371" s="183">
        <f t="shared" si="467"/>
        <v>0</v>
      </c>
      <c r="AJ371" s="183">
        <f t="shared" si="467"/>
        <v>3386.5</v>
      </c>
      <c r="AK371" s="183">
        <f t="shared" si="467"/>
        <v>0</v>
      </c>
      <c r="AL371" s="183">
        <f t="shared" si="467"/>
        <v>3894.4749999999999</v>
      </c>
      <c r="AM371" s="183">
        <f t="shared" si="467"/>
        <v>0</v>
      </c>
      <c r="AN371" s="183">
        <f t="shared" si="467"/>
        <v>507.97499999999991</v>
      </c>
      <c r="AO371" s="183">
        <f t="shared" si="467"/>
        <v>0</v>
      </c>
      <c r="AP371" s="183">
        <f t="shared" si="467"/>
        <v>778.89499999999998</v>
      </c>
      <c r="AQ371" s="183">
        <f t="shared" si="467"/>
        <v>0</v>
      </c>
      <c r="AR371" s="183">
        <f t="shared" si="467"/>
        <v>0</v>
      </c>
      <c r="AS371" s="183">
        <f t="shared" si="467"/>
        <v>0</v>
      </c>
      <c r="AT371" s="183">
        <f t="shared" si="467"/>
        <v>0</v>
      </c>
      <c r="AU371" s="183">
        <f t="shared" si="467"/>
        <v>3894.4749999999999</v>
      </c>
      <c r="AV371" s="183">
        <f t="shared" si="467"/>
        <v>0</v>
      </c>
      <c r="AW371" s="183">
        <f t="shared" si="467"/>
        <v>3894.4749999999999</v>
      </c>
      <c r="AX371" s="251"/>
    </row>
    <row r="372" spans="2:53" s="76" customFormat="1" ht="33">
      <c r="B372" s="703"/>
      <c r="C372" s="220" t="s">
        <v>1581</v>
      </c>
      <c r="D372" s="192"/>
      <c r="E372" s="193"/>
      <c r="F372" s="193"/>
      <c r="G372" s="193"/>
      <c r="H372" s="731"/>
      <c r="I372" s="193"/>
      <c r="J372" s="731"/>
      <c r="K372" s="193"/>
      <c r="L372" s="193"/>
      <c r="M372" s="731"/>
      <c r="N372" s="193"/>
      <c r="O372" s="731"/>
      <c r="P372" s="193"/>
      <c r="Q372" s="193"/>
      <c r="R372" s="193"/>
      <c r="S372" s="193"/>
      <c r="T372" s="193"/>
      <c r="U372" s="193"/>
      <c r="V372" s="732"/>
      <c r="W372" s="193"/>
      <c r="X372" s="732"/>
      <c r="Y372" s="732"/>
      <c r="Z372" s="193"/>
      <c r="AA372" s="193"/>
      <c r="AB372" s="795"/>
      <c r="AC372" s="195"/>
      <c r="AD372" s="195"/>
      <c r="AE372" s="195"/>
      <c r="AF372" s="195"/>
      <c r="AG372" s="195"/>
      <c r="AH372" s="195"/>
      <c r="AI372" s="203"/>
      <c r="AJ372" s="203"/>
      <c r="AK372" s="203"/>
      <c r="AL372" s="203"/>
      <c r="AM372" s="203"/>
      <c r="AN372" s="203"/>
      <c r="AO372" s="205"/>
      <c r="AP372" s="205"/>
      <c r="AQ372" s="205"/>
      <c r="AR372" s="205"/>
      <c r="AS372" s="205"/>
      <c r="AT372" s="209"/>
      <c r="AU372" s="209"/>
      <c r="AV372" s="203"/>
      <c r="AW372" s="251"/>
      <c r="AX372" s="251"/>
    </row>
    <row r="373" spans="2:53" s="76" customFormat="1" ht="33">
      <c r="B373" s="703">
        <f>B370+1</f>
        <v>248</v>
      </c>
      <c r="C373" s="197" t="s">
        <v>1160</v>
      </c>
      <c r="D373" s="198" t="s">
        <v>1751</v>
      </c>
      <c r="E373" s="703" t="s">
        <v>1161</v>
      </c>
      <c r="F373" s="206">
        <v>6</v>
      </c>
      <c r="G373" s="199">
        <v>4633</v>
      </c>
      <c r="H373" s="736"/>
      <c r="I373" s="199"/>
      <c r="J373" s="736"/>
      <c r="K373" s="199"/>
      <c r="L373" s="199"/>
      <c r="M373" s="736"/>
      <c r="N373" s="199"/>
      <c r="O373" s="737">
        <v>0.15</v>
      </c>
      <c r="P373" s="204">
        <f>G373*O373</f>
        <v>694.94999999999993</v>
      </c>
      <c r="Q373" s="199"/>
      <c r="R373" s="199">
        <f>G373+I373+K373+L373+N373+P373+Q373</f>
        <v>5327.95</v>
      </c>
      <c r="S373" s="199">
        <v>1</v>
      </c>
      <c r="T373" s="206"/>
      <c r="U373" s="206"/>
      <c r="V373" s="741"/>
      <c r="W373" s="206"/>
      <c r="X373" s="718">
        <v>23</v>
      </c>
      <c r="Y373" s="737">
        <v>0.3</v>
      </c>
      <c r="Z373" s="199">
        <f>R373*Y373</f>
        <v>1598.385</v>
      </c>
      <c r="AA373" s="199">
        <f>AH373</f>
        <v>1073.665</v>
      </c>
      <c r="AB373" s="796">
        <f>(R373+Z373)*S373+AA373</f>
        <v>8000</v>
      </c>
      <c r="AC373" s="738">
        <f>AF373</f>
        <v>5500</v>
      </c>
      <c r="AD373" s="738">
        <f>AB373+AC373</f>
        <v>13500</v>
      </c>
      <c r="AE373" s="202">
        <f>13500*S373</f>
        <v>13500</v>
      </c>
      <c r="AF373" s="202">
        <f>AE373-AB373</f>
        <v>5500</v>
      </c>
      <c r="AG373" s="738">
        <f>8000*S373</f>
        <v>8000</v>
      </c>
      <c r="AH373" s="202">
        <f>AG373-(R373+Z373)*S373</f>
        <v>1073.665</v>
      </c>
      <c r="AI373" s="203">
        <f>G373*S373</f>
        <v>4633</v>
      </c>
      <c r="AJ373" s="203">
        <f>G373*T373</f>
        <v>0</v>
      </c>
      <c r="AK373" s="203">
        <f>R373*S373</f>
        <v>5327.95</v>
      </c>
      <c r="AL373" s="203">
        <f>R373*T373</f>
        <v>0</v>
      </c>
      <c r="AM373" s="203">
        <f t="shared" ref="AM373:AN376" si="468">AK373-AI373</f>
        <v>694.94999999999982</v>
      </c>
      <c r="AN373" s="203">
        <f t="shared" si="468"/>
        <v>0</v>
      </c>
      <c r="AO373" s="205">
        <f>Z373*S373</f>
        <v>1598.385</v>
      </c>
      <c r="AP373" s="205">
        <f>Z373*T373</f>
        <v>0</v>
      </c>
      <c r="AQ373" s="205">
        <f>AA373</f>
        <v>1073.665</v>
      </c>
      <c r="AR373" s="205">
        <f>W373*S373</f>
        <v>0</v>
      </c>
      <c r="AS373" s="205">
        <f>W373*T373</f>
        <v>0</v>
      </c>
      <c r="AT373" s="209">
        <f t="shared" si="442"/>
        <v>5327.95</v>
      </c>
      <c r="AU373" s="209">
        <f t="shared" si="442"/>
        <v>0</v>
      </c>
      <c r="AV373" s="203"/>
      <c r="AW373" s="251">
        <f>R373*S373</f>
        <v>5327.95</v>
      </c>
      <c r="AX373" s="251"/>
    </row>
    <row r="374" spans="2:53" s="76" customFormat="1" ht="58.5">
      <c r="B374" s="703">
        <f>1+B373</f>
        <v>249</v>
      </c>
      <c r="C374" s="197" t="s">
        <v>1160</v>
      </c>
      <c r="D374" s="198" t="s">
        <v>1374</v>
      </c>
      <c r="E374" s="703" t="s">
        <v>1162</v>
      </c>
      <c r="F374" s="206">
        <v>9</v>
      </c>
      <c r="G374" s="199">
        <v>5527</v>
      </c>
      <c r="H374" s="736"/>
      <c r="I374" s="199"/>
      <c r="J374" s="736"/>
      <c r="K374" s="199"/>
      <c r="L374" s="199"/>
      <c r="M374" s="736"/>
      <c r="N374" s="199"/>
      <c r="O374" s="737">
        <v>0.15</v>
      </c>
      <c r="P374" s="204">
        <f>G374*O374</f>
        <v>829.05</v>
      </c>
      <c r="Q374" s="199"/>
      <c r="R374" s="199">
        <f>G374+I374+K374+L374+N374+P374+Q374</f>
        <v>6356.05</v>
      </c>
      <c r="S374" s="199">
        <v>1</v>
      </c>
      <c r="T374" s="199"/>
      <c r="U374" s="199"/>
      <c r="V374" s="736"/>
      <c r="W374" s="199"/>
      <c r="X374" s="718">
        <v>45</v>
      </c>
      <c r="Y374" s="737">
        <v>0.3</v>
      </c>
      <c r="Z374" s="199">
        <f>R374*Y374</f>
        <v>1906.8150000000001</v>
      </c>
      <c r="AA374" s="199"/>
      <c r="AB374" s="796">
        <f>(R374+Z374)*S374+AA374</f>
        <v>8262.8649999999998</v>
      </c>
      <c r="AC374" s="738">
        <f>AF374</f>
        <v>5237.1350000000002</v>
      </c>
      <c r="AD374" s="738">
        <f>AB374+AC374</f>
        <v>13500</v>
      </c>
      <c r="AE374" s="202">
        <f>13500*S374</f>
        <v>13500</v>
      </c>
      <c r="AF374" s="202">
        <f>AE374-AB374</f>
        <v>5237.1350000000002</v>
      </c>
      <c r="AG374" s="738">
        <f>8000*S374</f>
        <v>8000</v>
      </c>
      <c r="AH374" s="202">
        <f>AG374-(R374+Z374)*S374</f>
        <v>-262.86499999999978</v>
      </c>
      <c r="AI374" s="203">
        <f>G374*S374</f>
        <v>5527</v>
      </c>
      <c r="AJ374" s="203">
        <f>G374*T374</f>
        <v>0</v>
      </c>
      <c r="AK374" s="203">
        <f>R374*S374</f>
        <v>6356.05</v>
      </c>
      <c r="AL374" s="203">
        <f>R374*T374</f>
        <v>0</v>
      </c>
      <c r="AM374" s="203">
        <f t="shared" si="468"/>
        <v>829.05000000000018</v>
      </c>
      <c r="AN374" s="203">
        <f t="shared" si="468"/>
        <v>0</v>
      </c>
      <c r="AO374" s="205">
        <f>Z374*S374</f>
        <v>1906.8150000000001</v>
      </c>
      <c r="AP374" s="205">
        <f>Z374*T374</f>
        <v>0</v>
      </c>
      <c r="AQ374" s="205">
        <f>AA374</f>
        <v>0</v>
      </c>
      <c r="AR374" s="205">
        <f>W374*S374</f>
        <v>0</v>
      </c>
      <c r="AS374" s="205">
        <f>W374*T374</f>
        <v>0</v>
      </c>
      <c r="AT374" s="209">
        <f t="shared" si="442"/>
        <v>6356.05</v>
      </c>
      <c r="AU374" s="209">
        <f t="shared" si="442"/>
        <v>0</v>
      </c>
      <c r="AV374" s="203"/>
      <c r="AW374" s="251">
        <f>R374*S374</f>
        <v>6356.05</v>
      </c>
      <c r="AX374" s="251"/>
    </row>
    <row r="375" spans="2:53" s="76" customFormat="1" ht="58.5">
      <c r="B375" s="703">
        <f>1+B374</f>
        <v>250</v>
      </c>
      <c r="C375" s="197" t="s">
        <v>1160</v>
      </c>
      <c r="D375" s="198" t="s">
        <v>1374</v>
      </c>
      <c r="E375" s="703" t="s">
        <v>1163</v>
      </c>
      <c r="F375" s="703">
        <v>9</v>
      </c>
      <c r="G375" s="199">
        <v>5527</v>
      </c>
      <c r="H375" s="736"/>
      <c r="I375" s="199"/>
      <c r="J375" s="736"/>
      <c r="K375" s="199"/>
      <c r="L375" s="199"/>
      <c r="M375" s="736"/>
      <c r="N375" s="199"/>
      <c r="O375" s="737">
        <v>0.15</v>
      </c>
      <c r="P375" s="204">
        <f>G375*O375</f>
        <v>829.05</v>
      </c>
      <c r="Q375" s="199"/>
      <c r="R375" s="199">
        <f>G375+I375+K375+L375+N375+P375+Q375</f>
        <v>6356.05</v>
      </c>
      <c r="S375" s="199">
        <v>1</v>
      </c>
      <c r="T375" s="199"/>
      <c r="U375" s="199"/>
      <c r="V375" s="736"/>
      <c r="W375" s="199"/>
      <c r="X375" s="718">
        <v>30</v>
      </c>
      <c r="Y375" s="737">
        <v>0.3</v>
      </c>
      <c r="Z375" s="199">
        <f>R375*Y375</f>
        <v>1906.8150000000001</v>
      </c>
      <c r="AA375" s="199"/>
      <c r="AB375" s="796">
        <f>(R375+Z375)*S375+AA375</f>
        <v>8262.8649999999998</v>
      </c>
      <c r="AC375" s="738">
        <f>AF375</f>
        <v>5237.1350000000002</v>
      </c>
      <c r="AD375" s="738">
        <f>AB375+AC375</f>
        <v>13500</v>
      </c>
      <c r="AE375" s="202">
        <f>13500*S375</f>
        <v>13500</v>
      </c>
      <c r="AF375" s="202">
        <f>AE375-AB375</f>
        <v>5237.1350000000002</v>
      </c>
      <c r="AG375" s="738">
        <f>8000*S375</f>
        <v>8000</v>
      </c>
      <c r="AH375" s="202">
        <f>AG375-(R375+Z375)*S375</f>
        <v>-262.86499999999978</v>
      </c>
      <c r="AI375" s="203">
        <f>G375*S375</f>
        <v>5527</v>
      </c>
      <c r="AJ375" s="203">
        <f>G375*T375</f>
        <v>0</v>
      </c>
      <c r="AK375" s="203">
        <f>R375*S375</f>
        <v>6356.05</v>
      </c>
      <c r="AL375" s="203">
        <f>R375*T375</f>
        <v>0</v>
      </c>
      <c r="AM375" s="203">
        <f t="shared" si="468"/>
        <v>829.05000000000018</v>
      </c>
      <c r="AN375" s="203">
        <f t="shared" si="468"/>
        <v>0</v>
      </c>
      <c r="AO375" s="205">
        <f>Z375*S375</f>
        <v>1906.8150000000001</v>
      </c>
      <c r="AP375" s="205">
        <f>Z375*T375</f>
        <v>0</v>
      </c>
      <c r="AQ375" s="205">
        <f>AA375</f>
        <v>0</v>
      </c>
      <c r="AR375" s="205">
        <f>W375*S375</f>
        <v>0</v>
      </c>
      <c r="AS375" s="205">
        <f>W375*T375</f>
        <v>0</v>
      </c>
      <c r="AT375" s="209">
        <f t="shared" si="442"/>
        <v>6356.05</v>
      </c>
      <c r="AU375" s="209">
        <f t="shared" si="442"/>
        <v>0</v>
      </c>
      <c r="AV375" s="203"/>
      <c r="AW375" s="251">
        <f>R375*S375</f>
        <v>6356.05</v>
      </c>
      <c r="AX375" s="251"/>
    </row>
    <row r="376" spans="2:53" s="76" customFormat="1" ht="58.5">
      <c r="B376" s="703">
        <f>1+B375</f>
        <v>251</v>
      </c>
      <c r="C376" s="197" t="s">
        <v>1160</v>
      </c>
      <c r="D376" s="198" t="s">
        <v>1375</v>
      </c>
      <c r="E376" s="703" t="s">
        <v>1164</v>
      </c>
      <c r="F376" s="206">
        <v>9</v>
      </c>
      <c r="G376" s="199">
        <v>5527</v>
      </c>
      <c r="H376" s="736"/>
      <c r="I376" s="199"/>
      <c r="J376" s="736"/>
      <c r="K376" s="199"/>
      <c r="L376" s="199"/>
      <c r="M376" s="736"/>
      <c r="N376" s="199"/>
      <c r="O376" s="737">
        <v>0.15</v>
      </c>
      <c r="P376" s="204">
        <f>G376*O376</f>
        <v>829.05</v>
      </c>
      <c r="Q376" s="199"/>
      <c r="R376" s="199">
        <f>G376+I376+K376+L376+N376+P376+Q376</f>
        <v>6356.05</v>
      </c>
      <c r="S376" s="199">
        <v>1</v>
      </c>
      <c r="T376" s="199"/>
      <c r="U376" s="199"/>
      <c r="V376" s="736"/>
      <c r="W376" s="199"/>
      <c r="X376" s="718">
        <v>23</v>
      </c>
      <c r="Y376" s="737">
        <v>0.3</v>
      </c>
      <c r="Z376" s="199">
        <f>R376*Y376</f>
        <v>1906.8150000000001</v>
      </c>
      <c r="AA376" s="199"/>
      <c r="AB376" s="796">
        <f>(R376+Z376)*S376+AA376</f>
        <v>8262.8649999999998</v>
      </c>
      <c r="AC376" s="738">
        <f>AF376</f>
        <v>5237.1350000000002</v>
      </c>
      <c r="AD376" s="738">
        <f>AB376+AC376</f>
        <v>13500</v>
      </c>
      <c r="AE376" s="202">
        <f>13500*S376</f>
        <v>13500</v>
      </c>
      <c r="AF376" s="202">
        <f>AE376-AB376</f>
        <v>5237.1350000000002</v>
      </c>
      <c r="AG376" s="738">
        <f>8000*S376</f>
        <v>8000</v>
      </c>
      <c r="AH376" s="202">
        <f>AG376-(R376+Z376)*S376</f>
        <v>-262.86499999999978</v>
      </c>
      <c r="AI376" s="203">
        <f>G376*S376</f>
        <v>5527</v>
      </c>
      <c r="AJ376" s="203">
        <f>G376*T376</f>
        <v>0</v>
      </c>
      <c r="AK376" s="203">
        <f>R376*S376</f>
        <v>6356.05</v>
      </c>
      <c r="AL376" s="203">
        <f>R376*T376</f>
        <v>0</v>
      </c>
      <c r="AM376" s="203">
        <f t="shared" si="468"/>
        <v>829.05000000000018</v>
      </c>
      <c r="AN376" s="203">
        <f t="shared" si="468"/>
        <v>0</v>
      </c>
      <c r="AO376" s="205">
        <f>Z376*S376</f>
        <v>1906.8150000000001</v>
      </c>
      <c r="AP376" s="205">
        <f>Z376*T376</f>
        <v>0</v>
      </c>
      <c r="AQ376" s="205">
        <f>AA376</f>
        <v>0</v>
      </c>
      <c r="AR376" s="205">
        <f>W376*S376</f>
        <v>0</v>
      </c>
      <c r="AS376" s="205">
        <f>W376*T376</f>
        <v>0</v>
      </c>
      <c r="AT376" s="209">
        <f t="shared" si="442"/>
        <v>6356.05</v>
      </c>
      <c r="AU376" s="209">
        <f t="shared" si="442"/>
        <v>0</v>
      </c>
      <c r="AV376" s="203"/>
      <c r="AW376" s="251">
        <f>R376*S376</f>
        <v>6356.05</v>
      </c>
      <c r="AX376" s="251"/>
    </row>
    <row r="377" spans="2:53" s="76" customFormat="1" ht="31.5">
      <c r="B377" s="703"/>
      <c r="C377" s="180" t="s">
        <v>1736</v>
      </c>
      <c r="D377" s="207"/>
      <c r="E377" s="193"/>
      <c r="F377" s="193"/>
      <c r="G377" s="183">
        <f>SUM(G373:G376)</f>
        <v>21214</v>
      </c>
      <c r="H377" s="731"/>
      <c r="I377" s="193"/>
      <c r="J377" s="731"/>
      <c r="K377" s="193"/>
      <c r="L377" s="193"/>
      <c r="M377" s="731"/>
      <c r="N377" s="193"/>
      <c r="O377" s="731"/>
      <c r="P377" s="183">
        <f>SUM(P373:P376)</f>
        <v>3182.1000000000004</v>
      </c>
      <c r="Q377" s="193"/>
      <c r="R377" s="183">
        <f>SUM(R373:R376)</f>
        <v>24396.1</v>
      </c>
      <c r="S377" s="183">
        <f>SUM(S373:S376)</f>
        <v>4</v>
      </c>
      <c r="T377" s="183">
        <f>SUM(T373:T376)</f>
        <v>0</v>
      </c>
      <c r="U377" s="183"/>
      <c r="V377" s="742"/>
      <c r="W377" s="183"/>
      <c r="X377" s="742"/>
      <c r="Y377" s="742"/>
      <c r="Z377" s="183">
        <f>SUM(Z373:Z376)</f>
        <v>7318.83</v>
      </c>
      <c r="AA377" s="183">
        <f>SUM(AA373:AA376)</f>
        <v>1073.665</v>
      </c>
      <c r="AB377" s="797">
        <f>SUM(AB373:AB376)</f>
        <v>32788.595000000001</v>
      </c>
      <c r="AC377" s="183">
        <f t="shared" ref="AC377:AV377" si="469">SUM(AC373:AC376)</f>
        <v>21211.404999999999</v>
      </c>
      <c r="AD377" s="183">
        <f>SUM(AD373:AD376)</f>
        <v>54000</v>
      </c>
      <c r="AE377" s="183">
        <f t="shared" si="469"/>
        <v>54000</v>
      </c>
      <c r="AF377" s="183">
        <f t="shared" si="469"/>
        <v>21211.404999999999</v>
      </c>
      <c r="AG377" s="183">
        <f t="shared" si="469"/>
        <v>32000</v>
      </c>
      <c r="AH377" s="183">
        <f t="shared" si="469"/>
        <v>285.07000000000062</v>
      </c>
      <c r="AI377" s="183">
        <f t="shared" si="469"/>
        <v>21214</v>
      </c>
      <c r="AJ377" s="183">
        <f t="shared" si="469"/>
        <v>0</v>
      </c>
      <c r="AK377" s="183">
        <f t="shared" si="469"/>
        <v>24396.1</v>
      </c>
      <c r="AL377" s="183">
        <f t="shared" si="469"/>
        <v>0</v>
      </c>
      <c r="AM377" s="183">
        <f t="shared" si="469"/>
        <v>3182.1000000000004</v>
      </c>
      <c r="AN377" s="183">
        <f t="shared" si="469"/>
        <v>0</v>
      </c>
      <c r="AO377" s="183">
        <f t="shared" si="469"/>
        <v>7318.83</v>
      </c>
      <c r="AP377" s="183">
        <f t="shared" si="469"/>
        <v>0</v>
      </c>
      <c r="AQ377" s="183">
        <f t="shared" si="469"/>
        <v>1073.665</v>
      </c>
      <c r="AR377" s="183">
        <f t="shared" si="469"/>
        <v>0</v>
      </c>
      <c r="AS377" s="183">
        <f t="shared" si="469"/>
        <v>0</v>
      </c>
      <c r="AT377" s="183">
        <f t="shared" si="469"/>
        <v>24396.1</v>
      </c>
      <c r="AU377" s="183">
        <f t="shared" si="469"/>
        <v>0</v>
      </c>
      <c r="AV377" s="183">
        <f t="shared" si="469"/>
        <v>0</v>
      </c>
      <c r="AW377" s="183">
        <f>SUM(AW373:AW376)</f>
        <v>24396.1</v>
      </c>
      <c r="AX377" s="183">
        <f>SUM(AX373:AX376)</f>
        <v>0</v>
      </c>
    </row>
    <row r="378" spans="2:53" s="76" customFormat="1" ht="31.5">
      <c r="B378" s="703"/>
      <c r="C378" s="180" t="s">
        <v>1278</v>
      </c>
      <c r="D378" s="207"/>
      <c r="E378" s="193"/>
      <c r="F378" s="193"/>
      <c r="G378" s="183">
        <f>G371+G377</f>
        <v>27987</v>
      </c>
      <c r="H378" s="742"/>
      <c r="I378" s="183"/>
      <c r="J378" s="742"/>
      <c r="K378" s="183"/>
      <c r="L378" s="183"/>
      <c r="M378" s="742"/>
      <c r="N378" s="183"/>
      <c r="O378" s="742"/>
      <c r="P378" s="183">
        <f t="shared" ref="P378:AA378" si="470">P371+P377</f>
        <v>4198.05</v>
      </c>
      <c r="Q378" s="183">
        <f t="shared" si="470"/>
        <v>0</v>
      </c>
      <c r="R378" s="183">
        <f t="shared" si="470"/>
        <v>32185.05</v>
      </c>
      <c r="S378" s="183">
        <f t="shared" si="470"/>
        <v>4</v>
      </c>
      <c r="T378" s="183">
        <f t="shared" si="470"/>
        <v>0.5</v>
      </c>
      <c r="U378" s="183"/>
      <c r="V378" s="742"/>
      <c r="W378" s="183"/>
      <c r="X378" s="742"/>
      <c r="Y378" s="742"/>
      <c r="Z378" s="183">
        <f t="shared" si="470"/>
        <v>8876.619999999999</v>
      </c>
      <c r="AA378" s="183">
        <f t="shared" si="470"/>
        <v>1073.665</v>
      </c>
      <c r="AB378" s="797">
        <f>AB371+AB377</f>
        <v>37461.965000000004</v>
      </c>
      <c r="AC378" s="183">
        <f t="shared" ref="AC378:AX378" si="471">AC371+AC377</f>
        <v>26538.035</v>
      </c>
      <c r="AD378" s="183">
        <f>AD371+AD377</f>
        <v>64000</v>
      </c>
      <c r="AE378" s="183">
        <f t="shared" si="471"/>
        <v>64000</v>
      </c>
      <c r="AF378" s="183">
        <f t="shared" si="471"/>
        <v>26538.035</v>
      </c>
      <c r="AG378" s="183">
        <f t="shared" si="471"/>
        <v>36000</v>
      </c>
      <c r="AH378" s="183">
        <f t="shared" si="471"/>
        <v>-388.29999999999927</v>
      </c>
      <c r="AI378" s="183">
        <f t="shared" si="471"/>
        <v>21214</v>
      </c>
      <c r="AJ378" s="183">
        <f t="shared" si="471"/>
        <v>3386.5</v>
      </c>
      <c r="AK378" s="183">
        <f t="shared" si="471"/>
        <v>24396.1</v>
      </c>
      <c r="AL378" s="183">
        <f t="shared" si="471"/>
        <v>3894.4749999999999</v>
      </c>
      <c r="AM378" s="183">
        <f t="shared" si="471"/>
        <v>3182.1000000000004</v>
      </c>
      <c r="AN378" s="183">
        <f t="shared" si="471"/>
        <v>507.97499999999991</v>
      </c>
      <c r="AO378" s="183">
        <f t="shared" si="471"/>
        <v>7318.83</v>
      </c>
      <c r="AP378" s="183">
        <f t="shared" si="471"/>
        <v>778.89499999999998</v>
      </c>
      <c r="AQ378" s="183">
        <f t="shared" si="471"/>
        <v>1073.665</v>
      </c>
      <c r="AR378" s="183">
        <f t="shared" si="471"/>
        <v>0</v>
      </c>
      <c r="AS378" s="183">
        <f t="shared" si="471"/>
        <v>0</v>
      </c>
      <c r="AT378" s="183">
        <f t="shared" si="471"/>
        <v>24396.1</v>
      </c>
      <c r="AU378" s="183">
        <f t="shared" si="471"/>
        <v>3894.4749999999999</v>
      </c>
      <c r="AV378" s="183">
        <f t="shared" si="471"/>
        <v>0</v>
      </c>
      <c r="AW378" s="183">
        <f t="shared" si="471"/>
        <v>28290.574999999997</v>
      </c>
      <c r="AX378" s="183">
        <f t="shared" si="471"/>
        <v>0</v>
      </c>
    </row>
    <row r="379" spans="2:53" s="76" customFormat="1" ht="61.5">
      <c r="B379" s="703"/>
      <c r="C379" s="191" t="s">
        <v>1054</v>
      </c>
      <c r="D379" s="192"/>
      <c r="E379" s="193"/>
      <c r="F379" s="193"/>
      <c r="G379" s="193"/>
      <c r="H379" s="731"/>
      <c r="I379" s="193"/>
      <c r="J379" s="731"/>
      <c r="K379" s="193"/>
      <c r="L379" s="193"/>
      <c r="M379" s="731"/>
      <c r="N379" s="193"/>
      <c r="O379" s="731"/>
      <c r="P379" s="193"/>
      <c r="Q379" s="193"/>
      <c r="R379" s="193"/>
      <c r="S379" s="193"/>
      <c r="T379" s="193"/>
      <c r="U379" s="193"/>
      <c r="V379" s="732"/>
      <c r="W379" s="193"/>
      <c r="X379" s="732"/>
      <c r="Y379" s="732"/>
      <c r="Z379" s="193"/>
      <c r="AA379" s="193"/>
      <c r="AB379" s="795"/>
      <c r="AC379" s="195"/>
      <c r="AD379" s="195"/>
      <c r="AE379" s="195"/>
      <c r="AF379" s="195"/>
      <c r="AG379" s="195"/>
      <c r="AH379" s="195"/>
      <c r="AI379" s="203"/>
      <c r="AJ379" s="203"/>
      <c r="AK379" s="203"/>
      <c r="AL379" s="203"/>
      <c r="AM379" s="203"/>
      <c r="AN379" s="203"/>
      <c r="AO379" s="205"/>
      <c r="AP379" s="205"/>
      <c r="AQ379" s="205"/>
      <c r="AR379" s="205"/>
      <c r="AS379" s="205"/>
      <c r="AT379" s="209"/>
      <c r="AU379" s="209"/>
      <c r="AV379" s="203"/>
      <c r="AW379" s="251"/>
      <c r="AX379" s="251"/>
    </row>
    <row r="380" spans="2:53" s="76" customFormat="1" ht="33">
      <c r="B380" s="703"/>
      <c r="C380" s="220" t="s">
        <v>1382</v>
      </c>
      <c r="D380" s="217"/>
      <c r="E380" s="218"/>
      <c r="F380" s="218"/>
      <c r="G380" s="218"/>
      <c r="H380" s="745"/>
      <c r="I380" s="218"/>
      <c r="J380" s="745"/>
      <c r="K380" s="218"/>
      <c r="L380" s="218"/>
      <c r="M380" s="745"/>
      <c r="N380" s="218"/>
      <c r="O380" s="745"/>
      <c r="P380" s="218"/>
      <c r="Q380" s="218"/>
      <c r="R380" s="218"/>
      <c r="S380" s="218"/>
      <c r="T380" s="218"/>
      <c r="U380" s="218"/>
      <c r="V380" s="746"/>
      <c r="W380" s="218"/>
      <c r="X380" s="746"/>
      <c r="Y380" s="746"/>
      <c r="Z380" s="218"/>
      <c r="AA380" s="218"/>
      <c r="AB380" s="799"/>
      <c r="AC380" s="219"/>
      <c r="AD380" s="219"/>
      <c r="AE380" s="219"/>
      <c r="AF380" s="219"/>
      <c r="AG380" s="219"/>
      <c r="AH380" s="219"/>
      <c r="AI380" s="203"/>
      <c r="AJ380" s="203"/>
      <c r="AK380" s="203"/>
      <c r="AL380" s="203"/>
      <c r="AM380" s="203"/>
      <c r="AN380" s="203"/>
      <c r="AO380" s="205"/>
      <c r="AP380" s="205"/>
      <c r="AQ380" s="205"/>
      <c r="AR380" s="205"/>
      <c r="AS380" s="205"/>
      <c r="AT380" s="209"/>
      <c r="AU380" s="209"/>
      <c r="AV380" s="203"/>
      <c r="AW380" s="251"/>
      <c r="AX380" s="251"/>
      <c r="BA380" s="77"/>
    </row>
    <row r="381" spans="2:53" s="78" customFormat="1" ht="63">
      <c r="B381" s="703">
        <f>B376+1</f>
        <v>252</v>
      </c>
      <c r="C381" s="197" t="s">
        <v>1055</v>
      </c>
      <c r="D381" s="198" t="s">
        <v>1360</v>
      </c>
      <c r="E381" s="703" t="s">
        <v>1056</v>
      </c>
      <c r="F381" s="703">
        <v>13</v>
      </c>
      <c r="G381" s="199">
        <v>7253</v>
      </c>
      <c r="H381" s="737">
        <v>0.1</v>
      </c>
      <c r="I381" s="703">
        <f>G381*H381</f>
        <v>725.30000000000007</v>
      </c>
      <c r="J381" s="718"/>
      <c r="K381" s="703"/>
      <c r="L381" s="703"/>
      <c r="M381" s="718"/>
      <c r="N381" s="222"/>
      <c r="O381" s="737">
        <v>0.15</v>
      </c>
      <c r="P381" s="204">
        <f>(G381+I381)*O381</f>
        <v>1196.7449999999999</v>
      </c>
      <c r="Q381" s="201"/>
      <c r="R381" s="199">
        <f>G381+I381+K381+L381+N381+P381+Q381</f>
        <v>9175.0450000000001</v>
      </c>
      <c r="S381" s="199">
        <v>1</v>
      </c>
      <c r="T381" s="703"/>
      <c r="U381" s="703"/>
      <c r="V381" s="718"/>
      <c r="W381" s="703"/>
      <c r="X381" s="718">
        <v>33</v>
      </c>
      <c r="Y381" s="737">
        <v>0.3</v>
      </c>
      <c r="Z381" s="199">
        <f>R381*Y381</f>
        <v>2752.5135</v>
      </c>
      <c r="AA381" s="199"/>
      <c r="AB381" s="796">
        <f>(R381+Z381)*S381+AA381</f>
        <v>11927.558499999999</v>
      </c>
      <c r="AC381" s="738">
        <f>AF381</f>
        <v>8072.4415000000008</v>
      </c>
      <c r="AD381" s="738">
        <f>AB381+AC381</f>
        <v>20000</v>
      </c>
      <c r="AE381" s="202">
        <f>20000*S381</f>
        <v>20000</v>
      </c>
      <c r="AF381" s="202">
        <f>AE381-AB381</f>
        <v>8072.4415000000008</v>
      </c>
      <c r="AG381" s="738">
        <f>8000*S381</f>
        <v>8000</v>
      </c>
      <c r="AH381" s="202">
        <f>AG381-(R381+Z381)*S381</f>
        <v>-3927.5584999999992</v>
      </c>
      <c r="AI381" s="203">
        <f>G381*S381</f>
        <v>7253</v>
      </c>
      <c r="AJ381" s="203">
        <f>G381*T381</f>
        <v>0</v>
      </c>
      <c r="AK381" s="203">
        <f>R381*S381</f>
        <v>9175.0450000000001</v>
      </c>
      <c r="AL381" s="203">
        <f>R381*T381</f>
        <v>0</v>
      </c>
      <c r="AM381" s="203">
        <f>AK381-AI381</f>
        <v>1922.0450000000001</v>
      </c>
      <c r="AN381" s="203">
        <f>AL381-AJ381</f>
        <v>0</v>
      </c>
      <c r="AO381" s="205">
        <f>Z381*S381</f>
        <v>2752.5135</v>
      </c>
      <c r="AP381" s="205">
        <f>Z381*T381</f>
        <v>0</v>
      </c>
      <c r="AQ381" s="205">
        <f>AA381</f>
        <v>0</v>
      </c>
      <c r="AR381" s="205">
        <f>W381*S381</f>
        <v>0</v>
      </c>
      <c r="AS381" s="205">
        <f>W381*T381</f>
        <v>0</v>
      </c>
      <c r="AT381" s="209">
        <f t="shared" si="442"/>
        <v>9175.0450000000001</v>
      </c>
      <c r="AU381" s="209">
        <f t="shared" si="442"/>
        <v>0</v>
      </c>
      <c r="AV381" s="203"/>
      <c r="AW381" s="251">
        <f>R381*S381</f>
        <v>9175.0450000000001</v>
      </c>
      <c r="AX381" s="251"/>
    </row>
    <row r="382" spans="2:53" s="78" customFormat="1" ht="31.5">
      <c r="B382" s="703"/>
      <c r="C382" s="180" t="s">
        <v>1736</v>
      </c>
      <c r="D382" s="207"/>
      <c r="E382" s="193"/>
      <c r="F382" s="193"/>
      <c r="G382" s="183">
        <f>SUM(G381)</f>
        <v>7253</v>
      </c>
      <c r="H382" s="752"/>
      <c r="I382" s="183">
        <f>I381</f>
        <v>725.30000000000007</v>
      </c>
      <c r="J382" s="731"/>
      <c r="K382" s="193"/>
      <c r="L382" s="193"/>
      <c r="M382" s="731"/>
      <c r="N382" s="193"/>
      <c r="O382" s="731"/>
      <c r="P382" s="183">
        <f>P381</f>
        <v>1196.7449999999999</v>
      </c>
      <c r="Q382" s="193"/>
      <c r="R382" s="183">
        <f>SUM(R381)</f>
        <v>9175.0450000000001</v>
      </c>
      <c r="S382" s="183">
        <f>SUM(S381)</f>
        <v>1</v>
      </c>
      <c r="T382" s="183">
        <f>SUM(T381)</f>
        <v>0</v>
      </c>
      <c r="U382" s="183"/>
      <c r="V382" s="742"/>
      <c r="W382" s="183"/>
      <c r="X382" s="742"/>
      <c r="Y382" s="742"/>
      <c r="Z382" s="183">
        <f t="shared" ref="Z382:AX382" si="472">SUM(Z381)</f>
        <v>2752.5135</v>
      </c>
      <c r="AA382" s="183">
        <f t="shared" si="472"/>
        <v>0</v>
      </c>
      <c r="AB382" s="797">
        <f t="shared" si="472"/>
        <v>11927.558499999999</v>
      </c>
      <c r="AC382" s="183">
        <f t="shared" si="472"/>
        <v>8072.4415000000008</v>
      </c>
      <c r="AD382" s="183">
        <f>SUM(AD381)</f>
        <v>20000</v>
      </c>
      <c r="AE382" s="183">
        <f t="shared" si="472"/>
        <v>20000</v>
      </c>
      <c r="AF382" s="183">
        <f t="shared" si="472"/>
        <v>8072.4415000000008</v>
      </c>
      <c r="AG382" s="183">
        <f t="shared" si="472"/>
        <v>8000</v>
      </c>
      <c r="AH382" s="183">
        <f t="shared" si="472"/>
        <v>-3927.5584999999992</v>
      </c>
      <c r="AI382" s="183">
        <f t="shared" si="472"/>
        <v>7253</v>
      </c>
      <c r="AJ382" s="183">
        <f t="shared" si="472"/>
        <v>0</v>
      </c>
      <c r="AK382" s="183">
        <f t="shared" si="472"/>
        <v>9175.0450000000001</v>
      </c>
      <c r="AL382" s="183">
        <f t="shared" si="472"/>
        <v>0</v>
      </c>
      <c r="AM382" s="183">
        <f t="shared" si="472"/>
        <v>1922.0450000000001</v>
      </c>
      <c r="AN382" s="183">
        <f t="shared" si="472"/>
        <v>0</v>
      </c>
      <c r="AO382" s="183">
        <f t="shared" si="472"/>
        <v>2752.5135</v>
      </c>
      <c r="AP382" s="183">
        <f t="shared" si="472"/>
        <v>0</v>
      </c>
      <c r="AQ382" s="183">
        <f t="shared" si="472"/>
        <v>0</v>
      </c>
      <c r="AR382" s="183">
        <f t="shared" si="472"/>
        <v>0</v>
      </c>
      <c r="AS382" s="183">
        <f t="shared" si="472"/>
        <v>0</v>
      </c>
      <c r="AT382" s="183">
        <f t="shared" si="472"/>
        <v>9175.0450000000001</v>
      </c>
      <c r="AU382" s="183">
        <f t="shared" si="472"/>
        <v>0</v>
      </c>
      <c r="AV382" s="183">
        <f t="shared" si="472"/>
        <v>0</v>
      </c>
      <c r="AW382" s="183">
        <f t="shared" si="472"/>
        <v>9175.0450000000001</v>
      </c>
      <c r="AX382" s="183">
        <f t="shared" si="472"/>
        <v>0</v>
      </c>
    </row>
    <row r="383" spans="2:53" s="76" customFormat="1" ht="33">
      <c r="B383" s="703"/>
      <c r="C383" s="220" t="s">
        <v>1581</v>
      </c>
      <c r="D383" s="192"/>
      <c r="E383" s="193"/>
      <c r="F383" s="193"/>
      <c r="G383" s="193"/>
      <c r="H383" s="731"/>
      <c r="I383" s="193"/>
      <c r="J383" s="731"/>
      <c r="K383" s="193"/>
      <c r="L383" s="193"/>
      <c r="M383" s="731"/>
      <c r="N383" s="193"/>
      <c r="O383" s="731"/>
      <c r="P383" s="193"/>
      <c r="Q383" s="193"/>
      <c r="R383" s="193"/>
      <c r="S383" s="193"/>
      <c r="T383" s="193"/>
      <c r="U383" s="193"/>
      <c r="V383" s="732"/>
      <c r="W383" s="193"/>
      <c r="X383" s="732"/>
      <c r="Y383" s="732"/>
      <c r="Z383" s="193"/>
      <c r="AA383" s="193"/>
      <c r="AB383" s="795"/>
      <c r="AC383" s="195"/>
      <c r="AD383" s="195"/>
      <c r="AE383" s="195"/>
      <c r="AF383" s="195"/>
      <c r="AG383" s="195"/>
      <c r="AH383" s="195"/>
      <c r="AI383" s="203"/>
      <c r="AJ383" s="203"/>
      <c r="AK383" s="203"/>
      <c r="AL383" s="203"/>
      <c r="AM383" s="203"/>
      <c r="AN383" s="203"/>
      <c r="AO383" s="205"/>
      <c r="AP383" s="205"/>
      <c r="AQ383" s="205"/>
      <c r="AR383" s="205"/>
      <c r="AS383" s="205"/>
      <c r="AT383" s="209"/>
      <c r="AU383" s="209"/>
      <c r="AV383" s="203"/>
      <c r="AW383" s="251"/>
      <c r="AX383" s="251"/>
    </row>
    <row r="384" spans="2:53" s="78" customFormat="1" ht="63">
      <c r="B384" s="703">
        <f>B381+1</f>
        <v>253</v>
      </c>
      <c r="C384" s="197" t="s">
        <v>1165</v>
      </c>
      <c r="D384" s="198" t="s">
        <v>1367</v>
      </c>
      <c r="E384" s="703" t="s">
        <v>1810</v>
      </c>
      <c r="F384" s="703">
        <v>9</v>
      </c>
      <c r="G384" s="199">
        <v>5527</v>
      </c>
      <c r="H384" s="736"/>
      <c r="I384" s="199"/>
      <c r="J384" s="737"/>
      <c r="K384" s="201"/>
      <c r="L384" s="201"/>
      <c r="M384" s="736"/>
      <c r="N384" s="199"/>
      <c r="O384" s="737">
        <v>0.15</v>
      </c>
      <c r="P384" s="204">
        <f>G384*O384</f>
        <v>829.05</v>
      </c>
      <c r="Q384" s="206"/>
      <c r="R384" s="199">
        <f t="shared" ref="R384:R391" si="473">G384+I384+K384+L384+N384+P384+Q384</f>
        <v>6356.05</v>
      </c>
      <c r="S384" s="199">
        <v>1</v>
      </c>
      <c r="T384" s="199"/>
      <c r="U384" s="206"/>
      <c r="V384" s="741"/>
      <c r="W384" s="206"/>
      <c r="X384" s="718">
        <v>23</v>
      </c>
      <c r="Y384" s="737">
        <v>0.3</v>
      </c>
      <c r="Z384" s="199">
        <f t="shared" ref="Z384:Z391" si="474">R384*Y384</f>
        <v>1906.8150000000001</v>
      </c>
      <c r="AA384" s="199"/>
      <c r="AB384" s="796">
        <f>(R384+Z384)*S384+AA384</f>
        <v>8262.8649999999998</v>
      </c>
      <c r="AC384" s="738">
        <f t="shared" ref="AC384:AC391" si="475">AF384</f>
        <v>5237.1350000000002</v>
      </c>
      <c r="AD384" s="738">
        <f t="shared" ref="AD384:AD391" si="476">AB384+AC384</f>
        <v>13500</v>
      </c>
      <c r="AE384" s="202">
        <f t="shared" ref="AE384:AE391" si="477">13500*S384</f>
        <v>13500</v>
      </c>
      <c r="AF384" s="202">
        <f t="shared" ref="AF384:AF390" si="478">AE384-AB384</f>
        <v>5237.1350000000002</v>
      </c>
      <c r="AG384" s="738">
        <f>8000*S384</f>
        <v>8000</v>
      </c>
      <c r="AH384" s="202">
        <f>AG384-(R384+Z384)*S384</f>
        <v>-262.86499999999978</v>
      </c>
      <c r="AI384" s="203">
        <f t="shared" ref="AI384:AI391" si="479">G384*S384</f>
        <v>5527</v>
      </c>
      <c r="AJ384" s="203">
        <f t="shared" ref="AJ384:AJ391" si="480">G384*T384</f>
        <v>0</v>
      </c>
      <c r="AK384" s="203">
        <f t="shared" ref="AK384:AK391" si="481">R384*S384</f>
        <v>6356.05</v>
      </c>
      <c r="AL384" s="203">
        <f t="shared" ref="AL384:AL391" si="482">R384*T384</f>
        <v>0</v>
      </c>
      <c r="AM384" s="203">
        <f t="shared" ref="AM384:AN391" si="483">AK384-AI384</f>
        <v>829.05000000000018</v>
      </c>
      <c r="AN384" s="203">
        <f t="shared" si="483"/>
        <v>0</v>
      </c>
      <c r="AO384" s="205">
        <f t="shared" ref="AO384:AO391" si="484">Z384*S384</f>
        <v>1906.8150000000001</v>
      </c>
      <c r="AP384" s="205">
        <f t="shared" ref="AP384:AP391" si="485">Z384*T384</f>
        <v>0</v>
      </c>
      <c r="AQ384" s="205">
        <f t="shared" ref="AQ384:AQ391" si="486">AA384</f>
        <v>0</v>
      </c>
      <c r="AR384" s="205">
        <f t="shared" ref="AR384:AR391" si="487">W384*S384</f>
        <v>0</v>
      </c>
      <c r="AS384" s="205">
        <f t="shared" ref="AS384:AS391" si="488">W384*T384</f>
        <v>0</v>
      </c>
      <c r="AT384" s="209">
        <f t="shared" si="442"/>
        <v>6356.05</v>
      </c>
      <c r="AU384" s="209">
        <f t="shared" si="442"/>
        <v>0</v>
      </c>
      <c r="AV384" s="203"/>
      <c r="AW384" s="251">
        <f t="shared" ref="AW384:AW391" si="489">R384*S384</f>
        <v>6356.05</v>
      </c>
      <c r="AX384" s="251"/>
    </row>
    <row r="385" spans="2:53" s="78" customFormat="1" ht="63">
      <c r="B385" s="703">
        <f t="shared" ref="B385:B391" si="490">1+B384</f>
        <v>254</v>
      </c>
      <c r="C385" s="197" t="s">
        <v>1165</v>
      </c>
      <c r="D385" s="198" t="s">
        <v>1126</v>
      </c>
      <c r="E385" s="703" t="s">
        <v>1166</v>
      </c>
      <c r="F385" s="703">
        <v>9</v>
      </c>
      <c r="G385" s="199">
        <v>5527</v>
      </c>
      <c r="H385" s="736"/>
      <c r="I385" s="199"/>
      <c r="J385" s="736"/>
      <c r="K385" s="199"/>
      <c r="L385" s="199"/>
      <c r="M385" s="736"/>
      <c r="N385" s="199"/>
      <c r="O385" s="737">
        <v>0.15</v>
      </c>
      <c r="P385" s="204">
        <f>G385*O385</f>
        <v>829.05</v>
      </c>
      <c r="Q385" s="199"/>
      <c r="R385" s="199">
        <f t="shared" si="473"/>
        <v>6356.05</v>
      </c>
      <c r="S385" s="199">
        <v>1</v>
      </c>
      <c r="T385" s="199"/>
      <c r="U385" s="199"/>
      <c r="V385" s="736"/>
      <c r="W385" s="199"/>
      <c r="X385" s="718">
        <v>19</v>
      </c>
      <c r="Y385" s="737">
        <v>0.2</v>
      </c>
      <c r="Z385" s="199">
        <f t="shared" si="474"/>
        <v>1271.21</v>
      </c>
      <c r="AA385" s="199">
        <f>AH385</f>
        <v>372.73999999999978</v>
      </c>
      <c r="AB385" s="796">
        <f t="shared" ref="AB385:AB391" si="491">(R385+Z385)*S385+AA385</f>
        <v>8000</v>
      </c>
      <c r="AC385" s="738">
        <f t="shared" si="475"/>
        <v>5500</v>
      </c>
      <c r="AD385" s="738">
        <f t="shared" si="476"/>
        <v>13500</v>
      </c>
      <c r="AE385" s="202">
        <f t="shared" si="477"/>
        <v>13500</v>
      </c>
      <c r="AF385" s="202">
        <f t="shared" si="478"/>
        <v>5500</v>
      </c>
      <c r="AG385" s="738">
        <f t="shared" ref="AG385:AG391" si="492">8000*S385</f>
        <v>8000</v>
      </c>
      <c r="AH385" s="202">
        <f t="shared" ref="AH385:AH391" si="493">AG385-(R385+Z385)*S385</f>
        <v>372.73999999999978</v>
      </c>
      <c r="AI385" s="203">
        <f t="shared" si="479"/>
        <v>5527</v>
      </c>
      <c r="AJ385" s="203">
        <f t="shared" si="480"/>
        <v>0</v>
      </c>
      <c r="AK385" s="203">
        <f>R385*S385</f>
        <v>6356.05</v>
      </c>
      <c r="AL385" s="203">
        <f>R385*T385</f>
        <v>0</v>
      </c>
      <c r="AM385" s="203">
        <f>AK385-AI385</f>
        <v>829.05000000000018</v>
      </c>
      <c r="AN385" s="203">
        <f>AL385-AJ385</f>
        <v>0</v>
      </c>
      <c r="AO385" s="205">
        <f>Z385*S385</f>
        <v>1271.21</v>
      </c>
      <c r="AP385" s="205">
        <f>Z385*T385</f>
        <v>0</v>
      </c>
      <c r="AQ385" s="205">
        <f>AA385</f>
        <v>372.73999999999978</v>
      </c>
      <c r="AR385" s="205">
        <f>W385*S385</f>
        <v>0</v>
      </c>
      <c r="AS385" s="205">
        <f>W385*T385</f>
        <v>0</v>
      </c>
      <c r="AT385" s="209">
        <f t="shared" si="442"/>
        <v>6356.05</v>
      </c>
      <c r="AU385" s="209">
        <f t="shared" si="442"/>
        <v>0</v>
      </c>
      <c r="AV385" s="203"/>
      <c r="AW385" s="251">
        <f t="shared" si="489"/>
        <v>6356.05</v>
      </c>
      <c r="AX385" s="251"/>
    </row>
    <row r="386" spans="2:53" s="78" customFormat="1" ht="63">
      <c r="B386" s="703">
        <f t="shared" si="490"/>
        <v>255</v>
      </c>
      <c r="C386" s="197" t="s">
        <v>1165</v>
      </c>
      <c r="D386" s="198" t="s">
        <v>1168</v>
      </c>
      <c r="E386" s="703" t="s">
        <v>1169</v>
      </c>
      <c r="F386" s="703">
        <v>9</v>
      </c>
      <c r="G386" s="199">
        <v>5527</v>
      </c>
      <c r="H386" s="736"/>
      <c r="I386" s="199"/>
      <c r="J386" s="736"/>
      <c r="K386" s="199"/>
      <c r="L386" s="199"/>
      <c r="M386" s="736"/>
      <c r="N386" s="199"/>
      <c r="O386" s="737">
        <v>0.15</v>
      </c>
      <c r="P386" s="204">
        <f>G386*O386</f>
        <v>829.05</v>
      </c>
      <c r="Q386" s="199"/>
      <c r="R386" s="199">
        <f t="shared" si="473"/>
        <v>6356.05</v>
      </c>
      <c r="S386" s="199">
        <v>1</v>
      </c>
      <c r="T386" s="206"/>
      <c r="U386" s="206"/>
      <c r="V386" s="741"/>
      <c r="W386" s="206"/>
      <c r="X386" s="718">
        <v>28</v>
      </c>
      <c r="Y386" s="737">
        <v>0.3</v>
      </c>
      <c r="Z386" s="199">
        <f t="shared" si="474"/>
        <v>1906.8150000000001</v>
      </c>
      <c r="AA386" s="199"/>
      <c r="AB386" s="796">
        <f t="shared" si="491"/>
        <v>8262.8649999999998</v>
      </c>
      <c r="AC386" s="738">
        <f t="shared" si="475"/>
        <v>5237.1350000000002</v>
      </c>
      <c r="AD386" s="738">
        <f t="shared" si="476"/>
        <v>13500</v>
      </c>
      <c r="AE386" s="202">
        <f t="shared" si="477"/>
        <v>13500</v>
      </c>
      <c r="AF386" s="202">
        <f t="shared" si="478"/>
        <v>5237.1350000000002</v>
      </c>
      <c r="AG386" s="738">
        <f t="shared" si="492"/>
        <v>8000</v>
      </c>
      <c r="AH386" s="202">
        <f t="shared" si="493"/>
        <v>-262.86499999999978</v>
      </c>
      <c r="AI386" s="203">
        <f t="shared" si="479"/>
        <v>5527</v>
      </c>
      <c r="AJ386" s="203">
        <f t="shared" si="480"/>
        <v>0</v>
      </c>
      <c r="AK386" s="203">
        <f t="shared" si="481"/>
        <v>6356.05</v>
      </c>
      <c r="AL386" s="203">
        <f t="shared" si="482"/>
        <v>0</v>
      </c>
      <c r="AM386" s="203">
        <f t="shared" si="483"/>
        <v>829.05000000000018</v>
      </c>
      <c r="AN386" s="203">
        <f t="shared" si="483"/>
        <v>0</v>
      </c>
      <c r="AO386" s="205">
        <f t="shared" si="484"/>
        <v>1906.8150000000001</v>
      </c>
      <c r="AP386" s="205">
        <f t="shared" si="485"/>
        <v>0</v>
      </c>
      <c r="AQ386" s="205">
        <f t="shared" si="486"/>
        <v>0</v>
      </c>
      <c r="AR386" s="205">
        <f t="shared" si="487"/>
        <v>0</v>
      </c>
      <c r="AS386" s="205">
        <f t="shared" si="488"/>
        <v>0</v>
      </c>
      <c r="AT386" s="209">
        <f t="shared" si="442"/>
        <v>6356.05</v>
      </c>
      <c r="AU386" s="209">
        <f t="shared" si="442"/>
        <v>0</v>
      </c>
      <c r="AV386" s="203"/>
      <c r="AW386" s="251">
        <f t="shared" si="489"/>
        <v>6356.05</v>
      </c>
      <c r="AX386" s="251"/>
    </row>
    <row r="387" spans="2:53" s="78" customFormat="1" ht="63">
      <c r="B387" s="703">
        <f t="shared" si="490"/>
        <v>256</v>
      </c>
      <c r="C387" s="197" t="s">
        <v>1165</v>
      </c>
      <c r="D387" s="198" t="s">
        <v>1170</v>
      </c>
      <c r="E387" s="703" t="s">
        <v>1171</v>
      </c>
      <c r="F387" s="703">
        <v>9</v>
      </c>
      <c r="G387" s="199">
        <v>5527</v>
      </c>
      <c r="H387" s="736"/>
      <c r="I387" s="199"/>
      <c r="J387" s="736"/>
      <c r="K387" s="199"/>
      <c r="L387" s="199"/>
      <c r="M387" s="736"/>
      <c r="N387" s="199"/>
      <c r="O387" s="737">
        <v>0.15</v>
      </c>
      <c r="P387" s="204">
        <f>G387*O387</f>
        <v>829.05</v>
      </c>
      <c r="Q387" s="199"/>
      <c r="R387" s="199">
        <f t="shared" si="473"/>
        <v>6356.05</v>
      </c>
      <c r="S387" s="199">
        <v>1</v>
      </c>
      <c r="T387" s="199"/>
      <c r="U387" s="199"/>
      <c r="V387" s="736"/>
      <c r="W387" s="199"/>
      <c r="X387" s="718">
        <v>26</v>
      </c>
      <c r="Y387" s="737">
        <v>0.3</v>
      </c>
      <c r="Z387" s="199">
        <f t="shared" si="474"/>
        <v>1906.8150000000001</v>
      </c>
      <c r="AA387" s="199"/>
      <c r="AB387" s="796">
        <f t="shared" si="491"/>
        <v>8262.8649999999998</v>
      </c>
      <c r="AC387" s="738">
        <f t="shared" si="475"/>
        <v>5237.1350000000002</v>
      </c>
      <c r="AD387" s="738">
        <f t="shared" si="476"/>
        <v>13500</v>
      </c>
      <c r="AE387" s="202">
        <f t="shared" si="477"/>
        <v>13500</v>
      </c>
      <c r="AF387" s="202">
        <f t="shared" si="478"/>
        <v>5237.1350000000002</v>
      </c>
      <c r="AG387" s="738">
        <f t="shared" si="492"/>
        <v>8000</v>
      </c>
      <c r="AH387" s="202">
        <f t="shared" si="493"/>
        <v>-262.86499999999978</v>
      </c>
      <c r="AI387" s="203">
        <f t="shared" si="479"/>
        <v>5527</v>
      </c>
      <c r="AJ387" s="203">
        <f t="shared" si="480"/>
        <v>0</v>
      </c>
      <c r="AK387" s="203">
        <f t="shared" si="481"/>
        <v>6356.05</v>
      </c>
      <c r="AL387" s="203">
        <f t="shared" si="482"/>
        <v>0</v>
      </c>
      <c r="AM387" s="203">
        <f t="shared" si="483"/>
        <v>829.05000000000018</v>
      </c>
      <c r="AN387" s="203">
        <f t="shared" si="483"/>
        <v>0</v>
      </c>
      <c r="AO387" s="205">
        <f t="shared" si="484"/>
        <v>1906.8150000000001</v>
      </c>
      <c r="AP387" s="205">
        <f t="shared" si="485"/>
        <v>0</v>
      </c>
      <c r="AQ387" s="205">
        <f t="shared" si="486"/>
        <v>0</v>
      </c>
      <c r="AR387" s="205">
        <f t="shared" si="487"/>
        <v>0</v>
      </c>
      <c r="AS387" s="205">
        <f t="shared" si="488"/>
        <v>0</v>
      </c>
      <c r="AT387" s="209">
        <f t="shared" si="442"/>
        <v>6356.05</v>
      </c>
      <c r="AU387" s="209">
        <f t="shared" si="442"/>
        <v>0</v>
      </c>
      <c r="AV387" s="203"/>
      <c r="AW387" s="251">
        <f t="shared" si="489"/>
        <v>6356.05</v>
      </c>
      <c r="AX387" s="251"/>
    </row>
    <row r="388" spans="2:53" s="78" customFormat="1" ht="63">
      <c r="B388" s="703">
        <f t="shared" si="490"/>
        <v>257</v>
      </c>
      <c r="C388" s="197" t="s">
        <v>1165</v>
      </c>
      <c r="D388" s="198" t="s">
        <v>206</v>
      </c>
      <c r="E388" s="703" t="s">
        <v>1883</v>
      </c>
      <c r="F388" s="703">
        <v>8</v>
      </c>
      <c r="G388" s="199">
        <v>5240</v>
      </c>
      <c r="H388" s="736"/>
      <c r="I388" s="199"/>
      <c r="J388" s="736"/>
      <c r="K388" s="199"/>
      <c r="L388" s="199"/>
      <c r="M388" s="736"/>
      <c r="N388" s="199"/>
      <c r="O388" s="737">
        <v>0.15</v>
      </c>
      <c r="P388" s="204">
        <f>G388*O388</f>
        <v>786</v>
      </c>
      <c r="Q388" s="199"/>
      <c r="R388" s="199">
        <f t="shared" si="473"/>
        <v>6026</v>
      </c>
      <c r="S388" s="199">
        <v>1</v>
      </c>
      <c r="T388" s="199"/>
      <c r="U388" s="199"/>
      <c r="V388" s="736"/>
      <c r="W388" s="199"/>
      <c r="X388" s="718">
        <v>19</v>
      </c>
      <c r="Y388" s="737">
        <v>0.2</v>
      </c>
      <c r="Z388" s="199">
        <f t="shared" si="474"/>
        <v>1205.2</v>
      </c>
      <c r="AA388" s="199">
        <f>AH388</f>
        <v>768.80000000000018</v>
      </c>
      <c r="AB388" s="796">
        <f t="shared" si="491"/>
        <v>8000</v>
      </c>
      <c r="AC388" s="738">
        <f t="shared" si="475"/>
        <v>5500</v>
      </c>
      <c r="AD388" s="738">
        <f t="shared" si="476"/>
        <v>13500</v>
      </c>
      <c r="AE388" s="202">
        <f t="shared" si="477"/>
        <v>13500</v>
      </c>
      <c r="AF388" s="202">
        <f t="shared" si="478"/>
        <v>5500</v>
      </c>
      <c r="AG388" s="738">
        <f t="shared" si="492"/>
        <v>8000</v>
      </c>
      <c r="AH388" s="202">
        <f t="shared" si="493"/>
        <v>768.80000000000018</v>
      </c>
      <c r="AI388" s="203">
        <f t="shared" si="479"/>
        <v>5240</v>
      </c>
      <c r="AJ388" s="203">
        <f t="shared" si="480"/>
        <v>0</v>
      </c>
      <c r="AK388" s="203">
        <f t="shared" si="481"/>
        <v>6026</v>
      </c>
      <c r="AL388" s="203">
        <f t="shared" si="482"/>
        <v>0</v>
      </c>
      <c r="AM388" s="203">
        <f t="shared" si="483"/>
        <v>786</v>
      </c>
      <c r="AN388" s="203">
        <f t="shared" si="483"/>
        <v>0</v>
      </c>
      <c r="AO388" s="205">
        <f t="shared" si="484"/>
        <v>1205.2</v>
      </c>
      <c r="AP388" s="205">
        <f t="shared" si="485"/>
        <v>0</v>
      </c>
      <c r="AQ388" s="205">
        <f t="shared" si="486"/>
        <v>768.80000000000018</v>
      </c>
      <c r="AR388" s="205">
        <f t="shared" si="487"/>
        <v>0</v>
      </c>
      <c r="AS388" s="205">
        <f t="shared" si="488"/>
        <v>0</v>
      </c>
      <c r="AT388" s="209">
        <f t="shared" si="442"/>
        <v>6026</v>
      </c>
      <c r="AU388" s="209">
        <f t="shared" si="442"/>
        <v>0</v>
      </c>
      <c r="AV388" s="203"/>
      <c r="AW388" s="251">
        <f t="shared" si="489"/>
        <v>6026</v>
      </c>
      <c r="AX388" s="251"/>
    </row>
    <row r="389" spans="2:53" s="78" customFormat="1" ht="63">
      <c r="B389" s="703">
        <f t="shared" si="490"/>
        <v>258</v>
      </c>
      <c r="C389" s="197" t="s">
        <v>1172</v>
      </c>
      <c r="D389" s="198" t="s">
        <v>1811</v>
      </c>
      <c r="E389" s="703" t="s">
        <v>1167</v>
      </c>
      <c r="F389" s="703">
        <v>9</v>
      </c>
      <c r="G389" s="199">
        <v>5527</v>
      </c>
      <c r="H389" s="736"/>
      <c r="I389" s="199"/>
      <c r="J389" s="736"/>
      <c r="K389" s="199"/>
      <c r="L389" s="199"/>
      <c r="M389" s="736"/>
      <c r="N389" s="199"/>
      <c r="O389" s="736"/>
      <c r="P389" s="199"/>
      <c r="Q389" s="199"/>
      <c r="R389" s="199">
        <f t="shared" si="473"/>
        <v>5527</v>
      </c>
      <c r="S389" s="199">
        <v>1</v>
      </c>
      <c r="T389" s="199"/>
      <c r="U389" s="199"/>
      <c r="V389" s="736"/>
      <c r="W389" s="199"/>
      <c r="X389" s="718">
        <v>23</v>
      </c>
      <c r="Y389" s="737">
        <v>0.3</v>
      </c>
      <c r="Z389" s="199">
        <f t="shared" si="474"/>
        <v>1658.1</v>
      </c>
      <c r="AA389" s="199">
        <f>AH389</f>
        <v>814.89999999999964</v>
      </c>
      <c r="AB389" s="796">
        <f t="shared" si="491"/>
        <v>8000</v>
      </c>
      <c r="AC389" s="738">
        <f t="shared" si="475"/>
        <v>5500</v>
      </c>
      <c r="AD389" s="738">
        <f t="shared" si="476"/>
        <v>13500</v>
      </c>
      <c r="AE389" s="202">
        <f t="shared" si="477"/>
        <v>13500</v>
      </c>
      <c r="AF389" s="202">
        <f t="shared" si="478"/>
        <v>5500</v>
      </c>
      <c r="AG389" s="738">
        <f t="shared" si="492"/>
        <v>8000</v>
      </c>
      <c r="AH389" s="202">
        <f t="shared" si="493"/>
        <v>814.89999999999964</v>
      </c>
      <c r="AI389" s="203">
        <f t="shared" si="479"/>
        <v>5527</v>
      </c>
      <c r="AJ389" s="203">
        <f t="shared" si="480"/>
        <v>0</v>
      </c>
      <c r="AK389" s="203">
        <f t="shared" si="481"/>
        <v>5527</v>
      </c>
      <c r="AL389" s="203">
        <f t="shared" si="482"/>
        <v>0</v>
      </c>
      <c r="AM389" s="203">
        <f t="shared" si="483"/>
        <v>0</v>
      </c>
      <c r="AN389" s="203">
        <f t="shared" si="483"/>
        <v>0</v>
      </c>
      <c r="AO389" s="205">
        <f t="shared" si="484"/>
        <v>1658.1</v>
      </c>
      <c r="AP389" s="205">
        <f t="shared" si="485"/>
        <v>0</v>
      </c>
      <c r="AQ389" s="205">
        <f t="shared" si="486"/>
        <v>814.89999999999964</v>
      </c>
      <c r="AR389" s="205">
        <f t="shared" si="487"/>
        <v>0</v>
      </c>
      <c r="AS389" s="205">
        <f t="shared" si="488"/>
        <v>0</v>
      </c>
      <c r="AT389" s="209">
        <f t="shared" si="442"/>
        <v>5527</v>
      </c>
      <c r="AU389" s="209">
        <f t="shared" si="442"/>
        <v>0</v>
      </c>
      <c r="AV389" s="203"/>
      <c r="AW389" s="251">
        <f t="shared" si="489"/>
        <v>5527</v>
      </c>
      <c r="AX389" s="251"/>
    </row>
    <row r="390" spans="2:53" s="78" customFormat="1" ht="63">
      <c r="B390" s="703">
        <f t="shared" si="490"/>
        <v>259</v>
      </c>
      <c r="C390" s="197" t="s">
        <v>1173</v>
      </c>
      <c r="D390" s="198" t="s">
        <v>172</v>
      </c>
      <c r="E390" s="703" t="s">
        <v>1174</v>
      </c>
      <c r="F390" s="703">
        <v>8</v>
      </c>
      <c r="G390" s="199">
        <v>5240</v>
      </c>
      <c r="H390" s="736"/>
      <c r="I390" s="199"/>
      <c r="J390" s="736"/>
      <c r="K390" s="199"/>
      <c r="L390" s="199"/>
      <c r="M390" s="736"/>
      <c r="N390" s="199"/>
      <c r="O390" s="736"/>
      <c r="P390" s="199"/>
      <c r="Q390" s="199"/>
      <c r="R390" s="199">
        <f t="shared" si="473"/>
        <v>5240</v>
      </c>
      <c r="S390" s="199">
        <v>1</v>
      </c>
      <c r="T390" s="199"/>
      <c r="U390" s="199"/>
      <c r="V390" s="736"/>
      <c r="W390" s="199"/>
      <c r="X390" s="718">
        <v>16</v>
      </c>
      <c r="Y390" s="737">
        <v>0.2</v>
      </c>
      <c r="Z390" s="199">
        <f t="shared" si="474"/>
        <v>1048</v>
      </c>
      <c r="AA390" s="199">
        <f>AH390</f>
        <v>1712</v>
      </c>
      <c r="AB390" s="796">
        <f t="shared" si="491"/>
        <v>8000</v>
      </c>
      <c r="AC390" s="738">
        <f t="shared" si="475"/>
        <v>5500</v>
      </c>
      <c r="AD390" s="738">
        <f t="shared" si="476"/>
        <v>13500</v>
      </c>
      <c r="AE390" s="202">
        <f t="shared" si="477"/>
        <v>13500</v>
      </c>
      <c r="AF390" s="202">
        <f t="shared" si="478"/>
        <v>5500</v>
      </c>
      <c r="AG390" s="738">
        <f t="shared" si="492"/>
        <v>8000</v>
      </c>
      <c r="AH390" s="202">
        <f t="shared" si="493"/>
        <v>1712</v>
      </c>
      <c r="AI390" s="203">
        <f t="shared" si="479"/>
        <v>5240</v>
      </c>
      <c r="AJ390" s="203">
        <f t="shared" si="480"/>
        <v>0</v>
      </c>
      <c r="AK390" s="203">
        <f t="shared" si="481"/>
        <v>5240</v>
      </c>
      <c r="AL390" s="203">
        <f t="shared" si="482"/>
        <v>0</v>
      </c>
      <c r="AM390" s="203">
        <f t="shared" si="483"/>
        <v>0</v>
      </c>
      <c r="AN390" s="203">
        <f t="shared" si="483"/>
        <v>0</v>
      </c>
      <c r="AO390" s="205">
        <f t="shared" si="484"/>
        <v>1048</v>
      </c>
      <c r="AP390" s="205">
        <f t="shared" si="485"/>
        <v>0</v>
      </c>
      <c r="AQ390" s="205">
        <f t="shared" si="486"/>
        <v>1712</v>
      </c>
      <c r="AR390" s="205">
        <f t="shared" si="487"/>
        <v>0</v>
      </c>
      <c r="AS390" s="205">
        <f t="shared" si="488"/>
        <v>0</v>
      </c>
      <c r="AT390" s="209">
        <f t="shared" si="442"/>
        <v>5240</v>
      </c>
      <c r="AU390" s="209">
        <f t="shared" si="442"/>
        <v>0</v>
      </c>
      <c r="AV390" s="203"/>
      <c r="AW390" s="251">
        <f t="shared" si="489"/>
        <v>5240</v>
      </c>
      <c r="AX390" s="251"/>
    </row>
    <row r="391" spans="2:53" s="78" customFormat="1" ht="87.75">
      <c r="B391" s="703">
        <f t="shared" si="490"/>
        <v>260</v>
      </c>
      <c r="C391" s="197" t="s">
        <v>1173</v>
      </c>
      <c r="D391" s="198" t="s">
        <v>189</v>
      </c>
      <c r="E391" s="703" t="s">
        <v>1175</v>
      </c>
      <c r="F391" s="703">
        <v>9</v>
      </c>
      <c r="G391" s="199">
        <v>5527</v>
      </c>
      <c r="H391" s="736"/>
      <c r="I391" s="199"/>
      <c r="J391" s="736"/>
      <c r="K391" s="199"/>
      <c r="L391" s="199"/>
      <c r="M391" s="736"/>
      <c r="N391" s="199"/>
      <c r="O391" s="736"/>
      <c r="P391" s="199"/>
      <c r="Q391" s="199"/>
      <c r="R391" s="199">
        <f t="shared" si="473"/>
        <v>5527</v>
      </c>
      <c r="S391" s="199">
        <v>1</v>
      </c>
      <c r="T391" s="199"/>
      <c r="U391" s="199"/>
      <c r="V391" s="736"/>
      <c r="W391" s="199"/>
      <c r="X391" s="718">
        <v>30</v>
      </c>
      <c r="Y391" s="737">
        <v>0.3</v>
      </c>
      <c r="Z391" s="199">
        <f t="shared" si="474"/>
        <v>1658.1</v>
      </c>
      <c r="AA391" s="199">
        <f>AH391</f>
        <v>814.89999999999964</v>
      </c>
      <c r="AB391" s="796">
        <f t="shared" si="491"/>
        <v>8000</v>
      </c>
      <c r="AC391" s="738">
        <f t="shared" si="475"/>
        <v>5500</v>
      </c>
      <c r="AD391" s="738">
        <f t="shared" si="476"/>
        <v>13500</v>
      </c>
      <c r="AE391" s="202">
        <f t="shared" si="477"/>
        <v>13500</v>
      </c>
      <c r="AF391" s="202">
        <f>AE391-AB391</f>
        <v>5500</v>
      </c>
      <c r="AG391" s="738">
        <f t="shared" si="492"/>
        <v>8000</v>
      </c>
      <c r="AH391" s="202">
        <f t="shared" si="493"/>
        <v>814.89999999999964</v>
      </c>
      <c r="AI391" s="203">
        <f t="shared" si="479"/>
        <v>5527</v>
      </c>
      <c r="AJ391" s="203">
        <f t="shared" si="480"/>
        <v>0</v>
      </c>
      <c r="AK391" s="203">
        <f t="shared" si="481"/>
        <v>5527</v>
      </c>
      <c r="AL391" s="203">
        <f t="shared" si="482"/>
        <v>0</v>
      </c>
      <c r="AM391" s="203">
        <f t="shared" si="483"/>
        <v>0</v>
      </c>
      <c r="AN391" s="203">
        <f t="shared" si="483"/>
        <v>0</v>
      </c>
      <c r="AO391" s="205">
        <f t="shared" si="484"/>
        <v>1658.1</v>
      </c>
      <c r="AP391" s="205">
        <f t="shared" si="485"/>
        <v>0</v>
      </c>
      <c r="AQ391" s="205">
        <f t="shared" si="486"/>
        <v>814.89999999999964</v>
      </c>
      <c r="AR391" s="205">
        <f t="shared" si="487"/>
        <v>0</v>
      </c>
      <c r="AS391" s="205">
        <f t="shared" si="488"/>
        <v>0</v>
      </c>
      <c r="AT391" s="209">
        <f t="shared" si="442"/>
        <v>5527</v>
      </c>
      <c r="AU391" s="209">
        <f t="shared" si="442"/>
        <v>0</v>
      </c>
      <c r="AV391" s="203"/>
      <c r="AW391" s="251">
        <f t="shared" si="489"/>
        <v>5527</v>
      </c>
      <c r="AX391" s="251"/>
    </row>
    <row r="392" spans="2:53" s="78" customFormat="1" ht="31.5">
      <c r="B392" s="703"/>
      <c r="C392" s="180" t="s">
        <v>1736</v>
      </c>
      <c r="D392" s="207"/>
      <c r="E392" s="193"/>
      <c r="F392" s="193"/>
      <c r="G392" s="183">
        <f>SUM(G384:G391)</f>
        <v>43642</v>
      </c>
      <c r="H392" s="731"/>
      <c r="I392" s="193"/>
      <c r="J392" s="731"/>
      <c r="K392" s="193"/>
      <c r="L392" s="193"/>
      <c r="M392" s="731"/>
      <c r="N392" s="193"/>
      <c r="O392" s="731"/>
      <c r="P392" s="185">
        <f>SUM(P384:P391)</f>
        <v>4102.2</v>
      </c>
      <c r="Q392" s="183"/>
      <c r="R392" s="183">
        <f>SUM(R384:R391)</f>
        <v>47744.2</v>
      </c>
      <c r="S392" s="183">
        <f>SUM(S384:S391)</f>
        <v>8</v>
      </c>
      <c r="T392" s="183">
        <f>SUM(T384:T391)</f>
        <v>0</v>
      </c>
      <c r="U392" s="183"/>
      <c r="V392" s="742"/>
      <c r="W392" s="183"/>
      <c r="X392" s="742"/>
      <c r="Y392" s="742"/>
      <c r="Z392" s="183">
        <f t="shared" ref="Z392:AV392" si="494">SUM(Z384:Z391)</f>
        <v>12561.055000000002</v>
      </c>
      <c r="AA392" s="183">
        <f t="shared" si="494"/>
        <v>4483.3399999999992</v>
      </c>
      <c r="AB392" s="797">
        <f t="shared" si="494"/>
        <v>64788.595000000001</v>
      </c>
      <c r="AC392" s="183">
        <f t="shared" si="494"/>
        <v>43211.404999999999</v>
      </c>
      <c r="AD392" s="183">
        <f>SUM(AD384:AD391)</f>
        <v>108000</v>
      </c>
      <c r="AE392" s="183">
        <f t="shared" si="494"/>
        <v>108000</v>
      </c>
      <c r="AF392" s="183">
        <f t="shared" si="494"/>
        <v>43211.404999999999</v>
      </c>
      <c r="AG392" s="183">
        <f t="shared" si="494"/>
        <v>64000</v>
      </c>
      <c r="AH392" s="183">
        <f t="shared" si="494"/>
        <v>3694.7449999999999</v>
      </c>
      <c r="AI392" s="183">
        <f t="shared" si="494"/>
        <v>43642</v>
      </c>
      <c r="AJ392" s="183">
        <f t="shared" si="494"/>
        <v>0</v>
      </c>
      <c r="AK392" s="183">
        <f t="shared" si="494"/>
        <v>47744.2</v>
      </c>
      <c r="AL392" s="183">
        <f t="shared" si="494"/>
        <v>0</v>
      </c>
      <c r="AM392" s="183">
        <f t="shared" si="494"/>
        <v>4102.2000000000007</v>
      </c>
      <c r="AN392" s="183">
        <f t="shared" si="494"/>
        <v>0</v>
      </c>
      <c r="AO392" s="183">
        <f t="shared" si="494"/>
        <v>12561.055000000002</v>
      </c>
      <c r="AP392" s="183">
        <f t="shared" si="494"/>
        <v>0</v>
      </c>
      <c r="AQ392" s="183">
        <f t="shared" si="494"/>
        <v>4483.3399999999992</v>
      </c>
      <c r="AR392" s="183">
        <f t="shared" si="494"/>
        <v>0</v>
      </c>
      <c r="AS392" s="183">
        <f t="shared" si="494"/>
        <v>0</v>
      </c>
      <c r="AT392" s="183">
        <f t="shared" si="494"/>
        <v>47744.2</v>
      </c>
      <c r="AU392" s="183">
        <f t="shared" si="494"/>
        <v>0</v>
      </c>
      <c r="AV392" s="183">
        <f t="shared" si="494"/>
        <v>0</v>
      </c>
      <c r="AW392" s="183">
        <f>SUM(AW384:AW391)</f>
        <v>47744.2</v>
      </c>
      <c r="AX392" s="183">
        <f>SUM(AX384:AX391)</f>
        <v>0</v>
      </c>
    </row>
    <row r="393" spans="2:53" s="76" customFormat="1" ht="33">
      <c r="B393" s="703"/>
      <c r="C393" s="220" t="s">
        <v>1874</v>
      </c>
      <c r="D393" s="207"/>
      <c r="E393" s="193"/>
      <c r="F393" s="193"/>
      <c r="G393" s="183"/>
      <c r="H393" s="752"/>
      <c r="I393" s="183"/>
      <c r="J393" s="731"/>
      <c r="K393" s="193"/>
      <c r="L393" s="193"/>
      <c r="M393" s="731"/>
      <c r="N393" s="193"/>
      <c r="O393" s="731"/>
      <c r="P393" s="193"/>
      <c r="Q393" s="193"/>
      <c r="R393" s="183"/>
      <c r="S393" s="183"/>
      <c r="T393" s="183"/>
      <c r="U393" s="183"/>
      <c r="V393" s="742"/>
      <c r="W393" s="183"/>
      <c r="X393" s="742"/>
      <c r="Y393" s="742"/>
      <c r="Z393" s="183"/>
      <c r="AA393" s="183"/>
      <c r="AB393" s="797"/>
      <c r="AC393" s="208"/>
      <c r="AD393" s="208"/>
      <c r="AE393" s="208"/>
      <c r="AF393" s="208"/>
      <c r="AG393" s="208"/>
      <c r="AH393" s="208"/>
      <c r="AI393" s="203"/>
      <c r="AJ393" s="203"/>
      <c r="AK393" s="203"/>
      <c r="AL393" s="203"/>
      <c r="AM393" s="203"/>
      <c r="AN393" s="203"/>
      <c r="AO393" s="205"/>
      <c r="AP393" s="205"/>
      <c r="AQ393" s="205"/>
      <c r="AR393" s="205"/>
      <c r="AS393" s="205"/>
      <c r="AT393" s="209"/>
      <c r="AU393" s="209"/>
      <c r="AV393" s="203"/>
      <c r="AW393" s="251"/>
      <c r="AX393" s="251"/>
    </row>
    <row r="394" spans="2:53" s="78" customFormat="1" ht="63">
      <c r="B394" s="703">
        <f>B391+1</f>
        <v>261</v>
      </c>
      <c r="C394" s="197" t="s">
        <v>1213</v>
      </c>
      <c r="D394" s="198"/>
      <c r="E394" s="703" t="s">
        <v>1741</v>
      </c>
      <c r="F394" s="703">
        <v>3</v>
      </c>
      <c r="G394" s="199">
        <v>3770</v>
      </c>
      <c r="H394" s="736"/>
      <c r="I394" s="199"/>
      <c r="J394" s="741"/>
      <c r="K394" s="206"/>
      <c r="L394" s="206"/>
      <c r="M394" s="741"/>
      <c r="N394" s="206"/>
      <c r="O394" s="741"/>
      <c r="P394" s="206"/>
      <c r="Q394" s="206"/>
      <c r="R394" s="199">
        <f>G394+I394+K394+L394+N394+P394+Q394</f>
        <v>3770</v>
      </c>
      <c r="S394" s="199">
        <v>1</v>
      </c>
      <c r="T394" s="206"/>
      <c r="U394" s="206"/>
      <c r="V394" s="737">
        <v>0.1</v>
      </c>
      <c r="W394" s="199">
        <f>R394*V394</f>
        <v>377</v>
      </c>
      <c r="X394" s="718"/>
      <c r="Y394" s="737"/>
      <c r="Z394" s="199"/>
      <c r="AA394" s="199">
        <f>AH394</f>
        <v>4230</v>
      </c>
      <c r="AB394" s="796">
        <f>(R394+Z394+U394+W394)*S394+AA394</f>
        <v>8377</v>
      </c>
      <c r="AC394" s="738">
        <f>AF394</f>
        <v>0</v>
      </c>
      <c r="AD394" s="738">
        <f>AB394+AC394</f>
        <v>8377</v>
      </c>
      <c r="AE394" s="202">
        <f>AB394</f>
        <v>8377</v>
      </c>
      <c r="AF394" s="202">
        <f>AE394-AB394</f>
        <v>0</v>
      </c>
      <c r="AG394" s="738">
        <f>8000*S394</f>
        <v>8000</v>
      </c>
      <c r="AH394" s="202">
        <f>AG394-(R394*S394)</f>
        <v>4230</v>
      </c>
      <c r="AI394" s="203">
        <f>G394*S394</f>
        <v>3770</v>
      </c>
      <c r="AJ394" s="203">
        <f>G394*T394</f>
        <v>0</v>
      </c>
      <c r="AK394" s="203">
        <f>R394*S394</f>
        <v>3770</v>
      </c>
      <c r="AL394" s="203">
        <f>R394*T394</f>
        <v>0</v>
      </c>
      <c r="AM394" s="203">
        <f>AK394-AI394</f>
        <v>0</v>
      </c>
      <c r="AN394" s="203">
        <f>AL394-AJ394</f>
        <v>0</v>
      </c>
      <c r="AO394" s="205">
        <f>Z394*S394</f>
        <v>0</v>
      </c>
      <c r="AP394" s="205">
        <f>Z394*T394</f>
        <v>0</v>
      </c>
      <c r="AQ394" s="205">
        <f>AA394</f>
        <v>4230</v>
      </c>
      <c r="AR394" s="205">
        <f>W394*S394</f>
        <v>377</v>
      </c>
      <c r="AS394" s="205">
        <f>W394*T394</f>
        <v>0</v>
      </c>
      <c r="AT394" s="209">
        <f t="shared" si="442"/>
        <v>3770</v>
      </c>
      <c r="AU394" s="209">
        <f t="shared" si="442"/>
        <v>0</v>
      </c>
      <c r="AV394" s="203"/>
      <c r="AW394" s="251">
        <f>R394*S394</f>
        <v>3770</v>
      </c>
      <c r="AX394" s="251"/>
    </row>
    <row r="395" spans="2:53" s="78" customFormat="1" ht="31.5">
      <c r="B395" s="703"/>
      <c r="C395" s="180" t="s">
        <v>1736</v>
      </c>
      <c r="D395" s="207"/>
      <c r="E395" s="193"/>
      <c r="F395" s="193"/>
      <c r="G395" s="183">
        <f>SUM(G394:G394)</f>
        <v>3770</v>
      </c>
      <c r="H395" s="731"/>
      <c r="I395" s="193"/>
      <c r="J395" s="731"/>
      <c r="K395" s="193"/>
      <c r="L395" s="193"/>
      <c r="M395" s="731"/>
      <c r="N395" s="193"/>
      <c r="O395" s="731"/>
      <c r="P395" s="193"/>
      <c r="Q395" s="193"/>
      <c r="R395" s="183">
        <f>SUM(R394:R394)</f>
        <v>3770</v>
      </c>
      <c r="S395" s="183">
        <f>SUM(S394:S394)</f>
        <v>1</v>
      </c>
      <c r="T395" s="183">
        <f>SUM(T394:T394)</f>
        <v>0</v>
      </c>
      <c r="U395" s="183"/>
      <c r="V395" s="742"/>
      <c r="W395" s="183">
        <f>SUM(W394:W394)</f>
        <v>377</v>
      </c>
      <c r="X395" s="742"/>
      <c r="Y395" s="742"/>
      <c r="Z395" s="183"/>
      <c r="AA395" s="183">
        <f>SUM(AA394:AA394)</f>
        <v>4230</v>
      </c>
      <c r="AB395" s="797">
        <f t="shared" ref="AB395:AX395" si="495">SUM(AB394:AB394)</f>
        <v>8377</v>
      </c>
      <c r="AC395" s="183">
        <f t="shared" si="495"/>
        <v>0</v>
      </c>
      <c r="AD395" s="183">
        <f t="shared" si="495"/>
        <v>8377</v>
      </c>
      <c r="AE395" s="183">
        <f t="shared" si="495"/>
        <v>8377</v>
      </c>
      <c r="AF395" s="183">
        <f t="shared" si="495"/>
        <v>0</v>
      </c>
      <c r="AG395" s="183">
        <f t="shared" si="495"/>
        <v>8000</v>
      </c>
      <c r="AH395" s="183">
        <f t="shared" si="495"/>
        <v>4230</v>
      </c>
      <c r="AI395" s="183">
        <f t="shared" si="495"/>
        <v>3770</v>
      </c>
      <c r="AJ395" s="183">
        <f t="shared" si="495"/>
        <v>0</v>
      </c>
      <c r="AK395" s="183">
        <f t="shared" si="495"/>
        <v>3770</v>
      </c>
      <c r="AL395" s="183">
        <f t="shared" si="495"/>
        <v>0</v>
      </c>
      <c r="AM395" s="183">
        <f t="shared" si="495"/>
        <v>0</v>
      </c>
      <c r="AN395" s="183">
        <f t="shared" si="495"/>
        <v>0</v>
      </c>
      <c r="AO395" s="183">
        <f t="shared" si="495"/>
        <v>0</v>
      </c>
      <c r="AP395" s="183">
        <f t="shared" si="495"/>
        <v>0</v>
      </c>
      <c r="AQ395" s="183">
        <f t="shared" si="495"/>
        <v>4230</v>
      </c>
      <c r="AR395" s="183">
        <f t="shared" si="495"/>
        <v>377</v>
      </c>
      <c r="AS395" s="183">
        <f t="shared" si="495"/>
        <v>0</v>
      </c>
      <c r="AT395" s="183">
        <f t="shared" si="495"/>
        <v>3770</v>
      </c>
      <c r="AU395" s="183">
        <f t="shared" si="495"/>
        <v>0</v>
      </c>
      <c r="AV395" s="183">
        <f t="shared" si="495"/>
        <v>0</v>
      </c>
      <c r="AW395" s="183">
        <f t="shared" si="495"/>
        <v>3770</v>
      </c>
      <c r="AX395" s="183">
        <f t="shared" si="495"/>
        <v>0</v>
      </c>
    </row>
    <row r="396" spans="2:53" s="78" customFormat="1" ht="31.5">
      <c r="B396" s="703"/>
      <c r="C396" s="180" t="s">
        <v>1278</v>
      </c>
      <c r="D396" s="207"/>
      <c r="E396" s="193"/>
      <c r="F396" s="193"/>
      <c r="G396" s="183">
        <f>G382+G392+G395</f>
        <v>54665</v>
      </c>
      <c r="H396" s="742"/>
      <c r="I396" s="183">
        <f>I382+I392+I395</f>
        <v>725.30000000000007</v>
      </c>
      <c r="J396" s="742"/>
      <c r="K396" s="183"/>
      <c r="L396" s="183"/>
      <c r="M396" s="742"/>
      <c r="N396" s="183"/>
      <c r="O396" s="742"/>
      <c r="P396" s="183">
        <f>P382+P392+P395</f>
        <v>5298.9449999999997</v>
      </c>
      <c r="Q396" s="183"/>
      <c r="R396" s="183">
        <f>R382+R392+R395</f>
        <v>60689.244999999995</v>
      </c>
      <c r="S396" s="183">
        <f>S382+S392+S395</f>
        <v>10</v>
      </c>
      <c r="T396" s="183">
        <f>T382+T392+T395</f>
        <v>0</v>
      </c>
      <c r="U396" s="183"/>
      <c r="V396" s="742"/>
      <c r="W396" s="183">
        <f>W382+W392+W395</f>
        <v>377</v>
      </c>
      <c r="X396" s="742"/>
      <c r="Y396" s="742"/>
      <c r="Z396" s="183">
        <f>Z382+Z392+Z395</f>
        <v>15313.568500000001</v>
      </c>
      <c r="AA396" s="183">
        <f>AA382+AA392+AA395</f>
        <v>8713.34</v>
      </c>
      <c r="AB396" s="797">
        <f>AB382+AB392+AB395</f>
        <v>85093.1535</v>
      </c>
      <c r="AC396" s="183">
        <f>AC382+AC392+AC395</f>
        <v>51283.8465</v>
      </c>
      <c r="AD396" s="183">
        <f>AD382+AD392+AD395</f>
        <v>136377</v>
      </c>
      <c r="AE396" s="183">
        <f t="shared" ref="AE396:AX396" si="496">AE382+AE392+AE395</f>
        <v>136377</v>
      </c>
      <c r="AF396" s="183">
        <f t="shared" si="496"/>
        <v>51283.8465</v>
      </c>
      <c r="AG396" s="183">
        <f t="shared" si="496"/>
        <v>80000</v>
      </c>
      <c r="AH396" s="183">
        <f t="shared" si="496"/>
        <v>3997.1865000000007</v>
      </c>
      <c r="AI396" s="183">
        <f t="shared" si="496"/>
        <v>54665</v>
      </c>
      <c r="AJ396" s="183">
        <f t="shared" si="496"/>
        <v>0</v>
      </c>
      <c r="AK396" s="183">
        <f t="shared" si="496"/>
        <v>60689.244999999995</v>
      </c>
      <c r="AL396" s="183">
        <f t="shared" si="496"/>
        <v>0</v>
      </c>
      <c r="AM396" s="183">
        <f t="shared" si="496"/>
        <v>6024.2450000000008</v>
      </c>
      <c r="AN396" s="183">
        <f t="shared" si="496"/>
        <v>0</v>
      </c>
      <c r="AO396" s="183">
        <f t="shared" si="496"/>
        <v>15313.568500000001</v>
      </c>
      <c r="AP396" s="183">
        <f t="shared" si="496"/>
        <v>0</v>
      </c>
      <c r="AQ396" s="183">
        <f t="shared" si="496"/>
        <v>8713.34</v>
      </c>
      <c r="AR396" s="183">
        <f t="shared" si="496"/>
        <v>377</v>
      </c>
      <c r="AS396" s="183">
        <f t="shared" si="496"/>
        <v>0</v>
      </c>
      <c r="AT396" s="183">
        <f t="shared" si="496"/>
        <v>60689.244999999995</v>
      </c>
      <c r="AU396" s="183">
        <f t="shared" si="496"/>
        <v>0</v>
      </c>
      <c r="AV396" s="183">
        <f t="shared" si="496"/>
        <v>0</v>
      </c>
      <c r="AW396" s="183">
        <f t="shared" si="496"/>
        <v>60689.244999999995</v>
      </c>
      <c r="AX396" s="183">
        <f t="shared" si="496"/>
        <v>0</v>
      </c>
    </row>
    <row r="397" spans="2:53" s="78" customFormat="1" ht="61.5">
      <c r="B397" s="703"/>
      <c r="C397" s="216" t="s">
        <v>1765</v>
      </c>
      <c r="D397" s="217"/>
      <c r="E397" s="218"/>
      <c r="F397" s="218"/>
      <c r="G397" s="218"/>
      <c r="H397" s="745"/>
      <c r="I397" s="218"/>
      <c r="J397" s="745"/>
      <c r="K397" s="218"/>
      <c r="L397" s="218"/>
      <c r="M397" s="745"/>
      <c r="N397" s="218"/>
      <c r="O397" s="745"/>
      <c r="P397" s="218"/>
      <c r="Q397" s="218"/>
      <c r="R397" s="218"/>
      <c r="S397" s="218"/>
      <c r="T397" s="218"/>
      <c r="U397" s="218"/>
      <c r="V397" s="746"/>
      <c r="W397" s="218"/>
      <c r="X397" s="746"/>
      <c r="Y397" s="746"/>
      <c r="Z397" s="218"/>
      <c r="AA397" s="218"/>
      <c r="AB397" s="799"/>
      <c r="AC397" s="219"/>
      <c r="AD397" s="219"/>
      <c r="AE397" s="219"/>
      <c r="AF397" s="219"/>
      <c r="AG397" s="219"/>
      <c r="AH397" s="219"/>
      <c r="AI397" s="203"/>
      <c r="AJ397" s="203"/>
      <c r="AK397" s="203"/>
      <c r="AL397" s="203"/>
      <c r="AM397" s="203"/>
      <c r="AN397" s="203"/>
      <c r="AO397" s="205"/>
      <c r="AP397" s="205"/>
      <c r="AQ397" s="205"/>
      <c r="AR397" s="205"/>
      <c r="AS397" s="205"/>
      <c r="AT397" s="209"/>
      <c r="AU397" s="209"/>
      <c r="AV397" s="203"/>
      <c r="AW397" s="251"/>
      <c r="AX397" s="251"/>
    </row>
    <row r="398" spans="2:53" s="76" customFormat="1" ht="33">
      <c r="B398" s="703"/>
      <c r="C398" s="220" t="s">
        <v>1382</v>
      </c>
      <c r="D398" s="217"/>
      <c r="E398" s="218"/>
      <c r="F398" s="218"/>
      <c r="G398" s="218"/>
      <c r="H398" s="745"/>
      <c r="I398" s="218"/>
      <c r="J398" s="745"/>
      <c r="K398" s="218"/>
      <c r="L398" s="218"/>
      <c r="M398" s="745"/>
      <c r="N398" s="218"/>
      <c r="O398" s="745"/>
      <c r="P398" s="218"/>
      <c r="Q398" s="218"/>
      <c r="R398" s="218"/>
      <c r="S398" s="218"/>
      <c r="T398" s="218"/>
      <c r="U398" s="218"/>
      <c r="V398" s="746"/>
      <c r="W398" s="218"/>
      <c r="X398" s="746"/>
      <c r="Y398" s="746"/>
      <c r="Z398" s="218"/>
      <c r="AA398" s="218"/>
      <c r="AB398" s="799"/>
      <c r="AC398" s="219"/>
      <c r="AD398" s="219"/>
      <c r="AE398" s="219"/>
      <c r="AF398" s="219"/>
      <c r="AG398" s="219"/>
      <c r="AH398" s="219"/>
      <c r="AI398" s="203"/>
      <c r="AJ398" s="203"/>
      <c r="AK398" s="203"/>
      <c r="AL398" s="203"/>
      <c r="AM398" s="203"/>
      <c r="AN398" s="203"/>
      <c r="AO398" s="205"/>
      <c r="AP398" s="205"/>
      <c r="AQ398" s="205"/>
      <c r="AR398" s="205"/>
      <c r="AS398" s="205"/>
      <c r="AT398" s="209"/>
      <c r="AU398" s="209"/>
      <c r="AV398" s="203"/>
      <c r="AW398" s="251"/>
      <c r="AX398" s="251"/>
      <c r="BA398" s="77"/>
    </row>
    <row r="399" spans="2:53" s="78" customFormat="1" ht="58.5">
      <c r="B399" s="703">
        <f>B394+1</f>
        <v>262</v>
      </c>
      <c r="C399" s="197" t="s">
        <v>1347</v>
      </c>
      <c r="D399" s="198" t="s">
        <v>1859</v>
      </c>
      <c r="E399" s="703" t="s">
        <v>1348</v>
      </c>
      <c r="F399" s="703">
        <v>13</v>
      </c>
      <c r="G399" s="199">
        <v>7253</v>
      </c>
      <c r="H399" s="718"/>
      <c r="I399" s="703"/>
      <c r="J399" s="718"/>
      <c r="K399" s="703"/>
      <c r="L399" s="703"/>
      <c r="M399" s="718"/>
      <c r="N399" s="199"/>
      <c r="O399" s="718"/>
      <c r="P399" s="703"/>
      <c r="Q399" s="201"/>
      <c r="R399" s="199">
        <f>G399+I399+K399+L399+N399+P399+Q399</f>
        <v>7253</v>
      </c>
      <c r="S399" s="199"/>
      <c r="T399" s="199">
        <v>0.5</v>
      </c>
      <c r="U399" s="194"/>
      <c r="V399" s="737"/>
      <c r="W399" s="194"/>
      <c r="X399" s="731">
        <v>40</v>
      </c>
      <c r="Y399" s="737">
        <v>0.3</v>
      </c>
      <c r="Z399" s="199">
        <f>R399*Y399</f>
        <v>2175.9</v>
      </c>
      <c r="AA399" s="199"/>
      <c r="AB399" s="796">
        <f>(R399+Z399)*T399+AA399</f>
        <v>4714.45</v>
      </c>
      <c r="AC399" s="738">
        <f>AF399</f>
        <v>5285.55</v>
      </c>
      <c r="AD399" s="738">
        <f>AB399+AC399</f>
        <v>10000</v>
      </c>
      <c r="AE399" s="202">
        <f>20000*T399</f>
        <v>10000</v>
      </c>
      <c r="AF399" s="202">
        <f>AE399-AB399</f>
        <v>5285.55</v>
      </c>
      <c r="AG399" s="738">
        <f>8000*T399</f>
        <v>4000</v>
      </c>
      <c r="AH399" s="202">
        <f>AG399-(R399+Z399)*T399</f>
        <v>-714.44999999999982</v>
      </c>
      <c r="AI399" s="203">
        <f>G399*S399</f>
        <v>0</v>
      </c>
      <c r="AJ399" s="203">
        <f>G399*T399</f>
        <v>3626.5</v>
      </c>
      <c r="AK399" s="203">
        <f>R399*S399</f>
        <v>0</v>
      </c>
      <c r="AL399" s="203">
        <f>R399*T399</f>
        <v>3626.5</v>
      </c>
      <c r="AM399" s="203">
        <f>AK399-AI399</f>
        <v>0</v>
      </c>
      <c r="AN399" s="203">
        <f>AL399-AJ399</f>
        <v>0</v>
      </c>
      <c r="AO399" s="205">
        <f>Z399*S399</f>
        <v>0</v>
      </c>
      <c r="AP399" s="205">
        <f>Z399*T399</f>
        <v>1087.95</v>
      </c>
      <c r="AQ399" s="205">
        <f>AA399</f>
        <v>0</v>
      </c>
      <c r="AR399" s="205">
        <f>W399*S399</f>
        <v>0</v>
      </c>
      <c r="AS399" s="205">
        <f>W399*T399</f>
        <v>0</v>
      </c>
      <c r="AT399" s="209">
        <f>AK399</f>
        <v>0</v>
      </c>
      <c r="AU399" s="209">
        <f>AL399</f>
        <v>3626.5</v>
      </c>
      <c r="AV399" s="203"/>
      <c r="AW399" s="251">
        <f>R399*T399</f>
        <v>3626.5</v>
      </c>
      <c r="AX399" s="251"/>
    </row>
    <row r="400" spans="2:53" s="78" customFormat="1" ht="33" hidden="1" customHeight="1">
      <c r="B400" s="703"/>
      <c r="C400" s="197" t="s">
        <v>1347</v>
      </c>
      <c r="D400" s="198"/>
      <c r="E400" s="703"/>
      <c r="F400" s="703"/>
      <c r="G400" s="199"/>
      <c r="H400" s="718"/>
      <c r="I400" s="703"/>
      <c r="J400" s="718"/>
      <c r="K400" s="703"/>
      <c r="L400" s="703"/>
      <c r="M400" s="718"/>
      <c r="N400" s="199"/>
      <c r="O400" s="718"/>
      <c r="P400" s="703"/>
      <c r="Q400" s="201"/>
      <c r="R400" s="199">
        <f>G400+I400+K400+L400+N400+P400+Q400</f>
        <v>0</v>
      </c>
      <c r="S400" s="199"/>
      <c r="T400" s="199"/>
      <c r="U400" s="194"/>
      <c r="V400" s="737"/>
      <c r="W400" s="194"/>
      <c r="X400" s="731"/>
      <c r="Y400" s="737">
        <v>0</v>
      </c>
      <c r="Z400" s="199">
        <f>R400*Y400</f>
        <v>0</v>
      </c>
      <c r="AA400" s="199"/>
      <c r="AB400" s="796">
        <f>(R400+Z400)*S400+AA400</f>
        <v>0</v>
      </c>
      <c r="AC400" s="738">
        <f>AF400</f>
        <v>0</v>
      </c>
      <c r="AD400" s="738">
        <f>AB400+AC400</f>
        <v>0</v>
      </c>
      <c r="AE400" s="202">
        <f>20000*S400</f>
        <v>0</v>
      </c>
      <c r="AF400" s="202">
        <f>AE400-AB400</f>
        <v>0</v>
      </c>
      <c r="AG400" s="738">
        <f>8000*T400</f>
        <v>0</v>
      </c>
      <c r="AH400" s="202">
        <f>AG400-(R400+Z400)*T400</f>
        <v>0</v>
      </c>
      <c r="AI400" s="203">
        <f>G400*S400</f>
        <v>0</v>
      </c>
      <c r="AJ400" s="203">
        <f>G400*T400</f>
        <v>0</v>
      </c>
      <c r="AK400" s="203">
        <f>R400*S400</f>
        <v>0</v>
      </c>
      <c r="AL400" s="203">
        <f>R400*T400</f>
        <v>0</v>
      </c>
      <c r="AM400" s="203">
        <f>AK400-AI400</f>
        <v>0</v>
      </c>
      <c r="AN400" s="203">
        <f>AL400-AJ400</f>
        <v>0</v>
      </c>
      <c r="AO400" s="205">
        <f>Z400*S400</f>
        <v>0</v>
      </c>
      <c r="AP400" s="205">
        <f>Z400*T400</f>
        <v>0</v>
      </c>
      <c r="AQ400" s="205">
        <f>AA400</f>
        <v>0</v>
      </c>
      <c r="AR400" s="205">
        <f>W400*S400</f>
        <v>0</v>
      </c>
      <c r="AS400" s="205">
        <f>W400*T400</f>
        <v>0</v>
      </c>
      <c r="AT400" s="209">
        <f t="shared" si="442"/>
        <v>0</v>
      </c>
      <c r="AU400" s="209">
        <f t="shared" si="442"/>
        <v>0</v>
      </c>
      <c r="AV400" s="203"/>
      <c r="AW400" s="251">
        <f>AT400+AU400-AV400</f>
        <v>0</v>
      </c>
      <c r="AX400" s="251"/>
    </row>
    <row r="401" spans="2:50" s="78" customFormat="1" ht="31.5">
      <c r="B401" s="703"/>
      <c r="C401" s="180" t="s">
        <v>1736</v>
      </c>
      <c r="D401" s="207"/>
      <c r="E401" s="194"/>
      <c r="F401" s="193"/>
      <c r="G401" s="185">
        <f>SUM(G399:G400)</f>
        <v>7253</v>
      </c>
      <c r="H401" s="754"/>
      <c r="I401" s="185"/>
      <c r="J401" s="754"/>
      <c r="K401" s="185"/>
      <c r="L401" s="185"/>
      <c r="M401" s="754"/>
      <c r="N401" s="185"/>
      <c r="O401" s="754"/>
      <c r="P401" s="185"/>
      <c r="Q401" s="185"/>
      <c r="R401" s="185">
        <f>SUM(R399:R400)</f>
        <v>7253</v>
      </c>
      <c r="S401" s="183">
        <f>SUM(S399:S400)</f>
        <v>0</v>
      </c>
      <c r="T401" s="183">
        <f>SUM(T399:T400)</f>
        <v>0.5</v>
      </c>
      <c r="U401" s="185"/>
      <c r="V401" s="753"/>
      <c r="W401" s="185"/>
      <c r="X401" s="753"/>
      <c r="Y401" s="753"/>
      <c r="Z401" s="183">
        <f>SUM(Z399:Z400)</f>
        <v>2175.9</v>
      </c>
      <c r="AA401" s="183">
        <f t="shared" ref="AA401:AV401" si="497">SUM(AA399:AA400)</f>
        <v>0</v>
      </c>
      <c r="AB401" s="797">
        <f t="shared" si="497"/>
        <v>4714.45</v>
      </c>
      <c r="AC401" s="183">
        <f t="shared" si="497"/>
        <v>5285.55</v>
      </c>
      <c r="AD401" s="183">
        <f>SUM(AD399:AD400)</f>
        <v>10000</v>
      </c>
      <c r="AE401" s="183">
        <f t="shared" si="497"/>
        <v>10000</v>
      </c>
      <c r="AF401" s="183">
        <f t="shared" si="497"/>
        <v>5285.55</v>
      </c>
      <c r="AG401" s="183">
        <f t="shared" si="497"/>
        <v>4000</v>
      </c>
      <c r="AH401" s="183">
        <f t="shared" si="497"/>
        <v>-714.44999999999982</v>
      </c>
      <c r="AI401" s="183">
        <f t="shared" si="497"/>
        <v>0</v>
      </c>
      <c r="AJ401" s="183">
        <f t="shared" si="497"/>
        <v>3626.5</v>
      </c>
      <c r="AK401" s="183">
        <f t="shared" si="497"/>
        <v>0</v>
      </c>
      <c r="AL401" s="183">
        <f t="shared" si="497"/>
        <v>3626.5</v>
      </c>
      <c r="AM401" s="183">
        <f t="shared" si="497"/>
        <v>0</v>
      </c>
      <c r="AN401" s="183">
        <f t="shared" si="497"/>
        <v>0</v>
      </c>
      <c r="AO401" s="183">
        <f t="shared" si="497"/>
        <v>0</v>
      </c>
      <c r="AP401" s="183">
        <f t="shared" si="497"/>
        <v>1087.95</v>
      </c>
      <c r="AQ401" s="183">
        <f t="shared" si="497"/>
        <v>0</v>
      </c>
      <c r="AR401" s="183">
        <f t="shared" si="497"/>
        <v>0</v>
      </c>
      <c r="AS401" s="183">
        <f t="shared" si="497"/>
        <v>0</v>
      </c>
      <c r="AT401" s="183">
        <f t="shared" si="497"/>
        <v>0</v>
      </c>
      <c r="AU401" s="183">
        <f t="shared" si="497"/>
        <v>3626.5</v>
      </c>
      <c r="AV401" s="183">
        <f t="shared" si="497"/>
        <v>0</v>
      </c>
      <c r="AW401" s="183">
        <f>SUM(AW399:AW400)</f>
        <v>3626.5</v>
      </c>
      <c r="AX401" s="183">
        <f>SUM(AX399:AX400)</f>
        <v>0</v>
      </c>
    </row>
    <row r="402" spans="2:50" s="76" customFormat="1" ht="33">
      <c r="B402" s="703"/>
      <c r="C402" s="220" t="s">
        <v>1581</v>
      </c>
      <c r="D402" s="192"/>
      <c r="E402" s="193"/>
      <c r="F402" s="193"/>
      <c r="G402" s="193"/>
      <c r="H402" s="731"/>
      <c r="I402" s="193"/>
      <c r="J402" s="731"/>
      <c r="K402" s="193"/>
      <c r="L402" s="193"/>
      <c r="M402" s="731"/>
      <c r="N402" s="193"/>
      <c r="O402" s="731"/>
      <c r="P402" s="193"/>
      <c r="Q402" s="193"/>
      <c r="R402" s="193"/>
      <c r="S402" s="193"/>
      <c r="T402" s="193"/>
      <c r="U402" s="193"/>
      <c r="V402" s="732"/>
      <c r="W402" s="193"/>
      <c r="X402" s="732"/>
      <c r="Y402" s="732"/>
      <c r="Z402" s="193"/>
      <c r="AA402" s="193"/>
      <c r="AB402" s="795"/>
      <c r="AC402" s="195"/>
      <c r="AD402" s="195"/>
      <c r="AE402" s="195"/>
      <c r="AF402" s="195"/>
      <c r="AG402" s="195"/>
      <c r="AH402" s="195"/>
      <c r="AI402" s="203"/>
      <c r="AJ402" s="203"/>
      <c r="AK402" s="203"/>
      <c r="AL402" s="203"/>
      <c r="AM402" s="203"/>
      <c r="AN402" s="203"/>
      <c r="AO402" s="205"/>
      <c r="AP402" s="205"/>
      <c r="AQ402" s="205"/>
      <c r="AR402" s="205"/>
      <c r="AS402" s="205"/>
      <c r="AT402" s="209"/>
      <c r="AU402" s="209"/>
      <c r="AV402" s="203"/>
      <c r="AW402" s="251"/>
      <c r="AX402" s="251"/>
    </row>
    <row r="403" spans="2:50" s="78" customFormat="1" ht="87.75">
      <c r="B403" s="703">
        <f>B399+1</f>
        <v>263</v>
      </c>
      <c r="C403" s="197" t="s">
        <v>1796</v>
      </c>
      <c r="D403" s="198" t="s">
        <v>1861</v>
      </c>
      <c r="E403" s="703" t="s">
        <v>1797</v>
      </c>
      <c r="F403" s="703">
        <v>10</v>
      </c>
      <c r="G403" s="199">
        <v>5815</v>
      </c>
      <c r="H403" s="736"/>
      <c r="I403" s="199"/>
      <c r="J403" s="737"/>
      <c r="K403" s="201"/>
      <c r="L403" s="201"/>
      <c r="M403" s="736"/>
      <c r="N403" s="199"/>
      <c r="O403" s="736"/>
      <c r="P403" s="206"/>
      <c r="Q403" s="206"/>
      <c r="R403" s="199">
        <f>G403+I403+K403+L403+N403+P403+Q403</f>
        <v>5815</v>
      </c>
      <c r="S403" s="199">
        <v>1</v>
      </c>
      <c r="T403" s="199"/>
      <c r="U403" s="206"/>
      <c r="V403" s="741"/>
      <c r="W403" s="206"/>
      <c r="X403" s="718">
        <v>28</v>
      </c>
      <c r="Y403" s="737">
        <v>0.3</v>
      </c>
      <c r="Z403" s="199">
        <f>R403*Y403</f>
        <v>1744.5</v>
      </c>
      <c r="AA403" s="199">
        <f>AH403</f>
        <v>440.5</v>
      </c>
      <c r="AB403" s="796">
        <f>(R403+Z403)*S403+AA403</f>
        <v>8000</v>
      </c>
      <c r="AC403" s="738">
        <f>AF403</f>
        <v>5500</v>
      </c>
      <c r="AD403" s="738">
        <f>AB403+AC403</f>
        <v>13500</v>
      </c>
      <c r="AE403" s="202">
        <f>13500*S403</f>
        <v>13500</v>
      </c>
      <c r="AF403" s="202">
        <f>AE403-AB403</f>
        <v>5500</v>
      </c>
      <c r="AG403" s="738">
        <f>8000*S403</f>
        <v>8000</v>
      </c>
      <c r="AH403" s="202">
        <f>AG403-(R403+Z403)*S403</f>
        <v>440.5</v>
      </c>
      <c r="AI403" s="203">
        <f>G403*S403</f>
        <v>5815</v>
      </c>
      <c r="AJ403" s="203">
        <f>G403*T403</f>
        <v>0</v>
      </c>
      <c r="AK403" s="203">
        <f>R403*S403</f>
        <v>5815</v>
      </c>
      <c r="AL403" s="203">
        <f>R403*T403</f>
        <v>0</v>
      </c>
      <c r="AM403" s="203">
        <f t="shared" ref="AM403:AN405" si="498">AK403-AI403</f>
        <v>0</v>
      </c>
      <c r="AN403" s="203">
        <f t="shared" si="498"/>
        <v>0</v>
      </c>
      <c r="AO403" s="205">
        <f>Z403*S403</f>
        <v>1744.5</v>
      </c>
      <c r="AP403" s="205">
        <f>Z403*T403</f>
        <v>0</v>
      </c>
      <c r="AQ403" s="205">
        <f>AA403</f>
        <v>440.5</v>
      </c>
      <c r="AR403" s="205">
        <f>W403*S403</f>
        <v>0</v>
      </c>
      <c r="AS403" s="205">
        <f>W403*T403</f>
        <v>0</v>
      </c>
      <c r="AT403" s="209">
        <f t="shared" si="442"/>
        <v>5815</v>
      </c>
      <c r="AU403" s="209">
        <f t="shared" si="442"/>
        <v>0</v>
      </c>
      <c r="AV403" s="203"/>
      <c r="AW403" s="251">
        <f>R403*S403</f>
        <v>5815</v>
      </c>
      <c r="AX403" s="251"/>
    </row>
    <row r="404" spans="2:50" s="78" customFormat="1" ht="33">
      <c r="B404" s="703"/>
      <c r="C404" s="197"/>
      <c r="D404" s="198"/>
      <c r="E404" s="703"/>
      <c r="F404" s="703"/>
      <c r="G404" s="199"/>
      <c r="H404" s="736"/>
      <c r="I404" s="199"/>
      <c r="J404" s="737"/>
      <c r="K404" s="201"/>
      <c r="L404" s="201"/>
      <c r="M404" s="736"/>
      <c r="N404" s="199"/>
      <c r="O404" s="736"/>
      <c r="P404" s="206"/>
      <c r="Q404" s="206"/>
      <c r="R404" s="199">
        <f>G404+I404+K404+L404+N404+P404+Q404</f>
        <v>0</v>
      </c>
      <c r="S404" s="199"/>
      <c r="T404" s="199"/>
      <c r="U404" s="206"/>
      <c r="V404" s="741"/>
      <c r="W404" s="206"/>
      <c r="X404" s="718"/>
      <c r="Y404" s="737">
        <v>0</v>
      </c>
      <c r="Z404" s="199">
        <f>R404*Y404</f>
        <v>0</v>
      </c>
      <c r="AA404" s="199"/>
      <c r="AB404" s="796">
        <f>(R404+Z404)*S404+AA404</f>
        <v>0</v>
      </c>
      <c r="AC404" s="738">
        <f>AF404</f>
        <v>0</v>
      </c>
      <c r="AD404" s="738">
        <f>AB404+AC404</f>
        <v>0</v>
      </c>
      <c r="AE404" s="202">
        <f>13500*S404</f>
        <v>0</v>
      </c>
      <c r="AF404" s="202">
        <f>AE404-AB404</f>
        <v>0</v>
      </c>
      <c r="AG404" s="738">
        <f>8000*S404</f>
        <v>0</v>
      </c>
      <c r="AH404" s="202">
        <f>AG404-(R404*S404)-Z404</f>
        <v>0</v>
      </c>
      <c r="AI404" s="203">
        <f>G404*S404</f>
        <v>0</v>
      </c>
      <c r="AJ404" s="203">
        <f>G404*T404</f>
        <v>0</v>
      </c>
      <c r="AK404" s="203">
        <f>R404*S404</f>
        <v>0</v>
      </c>
      <c r="AL404" s="203">
        <f>R404*T404</f>
        <v>0</v>
      </c>
      <c r="AM404" s="203">
        <f t="shared" si="498"/>
        <v>0</v>
      </c>
      <c r="AN404" s="203">
        <f t="shared" si="498"/>
        <v>0</v>
      </c>
      <c r="AO404" s="205">
        <f>Z404*S404</f>
        <v>0</v>
      </c>
      <c r="AP404" s="205">
        <f>Z404*T404</f>
        <v>0</v>
      </c>
      <c r="AQ404" s="205">
        <f>AA404</f>
        <v>0</v>
      </c>
      <c r="AR404" s="205">
        <f>W404*S404</f>
        <v>0</v>
      </c>
      <c r="AS404" s="205">
        <f>W404*T404</f>
        <v>0</v>
      </c>
      <c r="AT404" s="209">
        <f t="shared" si="442"/>
        <v>0</v>
      </c>
      <c r="AU404" s="209">
        <f t="shared" si="442"/>
        <v>0</v>
      </c>
      <c r="AV404" s="203"/>
      <c r="AW404" s="251">
        <f>R404*S404</f>
        <v>0</v>
      </c>
      <c r="AX404" s="251"/>
    </row>
    <row r="405" spans="2:50" s="78" customFormat="1" ht="58.5">
      <c r="B405" s="703">
        <f>1+B403</f>
        <v>264</v>
      </c>
      <c r="C405" s="197" t="s">
        <v>1184</v>
      </c>
      <c r="D405" s="212" t="s">
        <v>1185</v>
      </c>
      <c r="E405" s="206" t="s">
        <v>1798</v>
      </c>
      <c r="F405" s="703">
        <v>7</v>
      </c>
      <c r="G405" s="199">
        <v>4920</v>
      </c>
      <c r="H405" s="736"/>
      <c r="I405" s="199"/>
      <c r="J405" s="736"/>
      <c r="K405" s="199"/>
      <c r="L405" s="199"/>
      <c r="M405" s="736"/>
      <c r="N405" s="199"/>
      <c r="O405" s="736"/>
      <c r="P405" s="206"/>
      <c r="Q405" s="206"/>
      <c r="R405" s="199">
        <f>G405+I405+K405+L405+N405+P405+Q405</f>
        <v>4920</v>
      </c>
      <c r="S405" s="199">
        <v>1</v>
      </c>
      <c r="T405" s="199"/>
      <c r="U405" s="206"/>
      <c r="V405" s="741"/>
      <c r="W405" s="206"/>
      <c r="X405" s="718">
        <v>22</v>
      </c>
      <c r="Y405" s="737">
        <v>0.3</v>
      </c>
      <c r="Z405" s="199">
        <f>R405*Y405</f>
        <v>1476</v>
      </c>
      <c r="AA405" s="199">
        <f>AH405</f>
        <v>1604</v>
      </c>
      <c r="AB405" s="796">
        <f>(R405+Z405)*S405+AA405</f>
        <v>8000</v>
      </c>
      <c r="AC405" s="738">
        <f>AF405</f>
        <v>5500</v>
      </c>
      <c r="AD405" s="738">
        <f>AB405+AC405</f>
        <v>13500</v>
      </c>
      <c r="AE405" s="202">
        <f>13500*S405</f>
        <v>13500</v>
      </c>
      <c r="AF405" s="202">
        <f>AE405-AB405</f>
        <v>5500</v>
      </c>
      <c r="AG405" s="738">
        <f>8000*S405</f>
        <v>8000</v>
      </c>
      <c r="AH405" s="202">
        <f>AG405-(R405*S405)-Z405</f>
        <v>1604</v>
      </c>
      <c r="AI405" s="203">
        <f>G405*S405</f>
        <v>4920</v>
      </c>
      <c r="AJ405" s="203">
        <f>G405*T405</f>
        <v>0</v>
      </c>
      <c r="AK405" s="203">
        <f>R405*S405</f>
        <v>4920</v>
      </c>
      <c r="AL405" s="203">
        <f>R405*T405</f>
        <v>0</v>
      </c>
      <c r="AM405" s="203">
        <f t="shared" si="498"/>
        <v>0</v>
      </c>
      <c r="AN405" s="203">
        <f t="shared" si="498"/>
        <v>0</v>
      </c>
      <c r="AO405" s="205">
        <f>Z405*S405</f>
        <v>1476</v>
      </c>
      <c r="AP405" s="205">
        <f>Z405*T405</f>
        <v>0</v>
      </c>
      <c r="AQ405" s="205">
        <f>AA405</f>
        <v>1604</v>
      </c>
      <c r="AR405" s="205">
        <f>W405*S405</f>
        <v>0</v>
      </c>
      <c r="AS405" s="205">
        <f>W405*T405</f>
        <v>0</v>
      </c>
      <c r="AT405" s="209">
        <f t="shared" si="442"/>
        <v>4920</v>
      </c>
      <c r="AU405" s="209">
        <f t="shared" si="442"/>
        <v>0</v>
      </c>
      <c r="AV405" s="203"/>
      <c r="AW405" s="251">
        <f>R405*S405</f>
        <v>4920</v>
      </c>
      <c r="AX405" s="251"/>
    </row>
    <row r="406" spans="2:50" s="78" customFormat="1" ht="31.5">
      <c r="B406" s="703"/>
      <c r="C406" s="180" t="s">
        <v>1736</v>
      </c>
      <c r="D406" s="207"/>
      <c r="E406" s="194"/>
      <c r="F406" s="193"/>
      <c r="G406" s="185">
        <f>SUM(G403:G405)</f>
        <v>10735</v>
      </c>
      <c r="H406" s="754"/>
      <c r="I406" s="185"/>
      <c r="J406" s="754"/>
      <c r="K406" s="185"/>
      <c r="L406" s="185"/>
      <c r="M406" s="754"/>
      <c r="N406" s="185"/>
      <c r="O406" s="754"/>
      <c r="P406" s="185"/>
      <c r="Q406" s="185"/>
      <c r="R406" s="185">
        <f>SUM(R403:R405)</f>
        <v>10735</v>
      </c>
      <c r="S406" s="183">
        <f>SUM(S403:S405)</f>
        <v>2</v>
      </c>
      <c r="T406" s="183">
        <f>SUM(T403:T405)</f>
        <v>0</v>
      </c>
      <c r="U406" s="185"/>
      <c r="V406" s="753"/>
      <c r="W406" s="185"/>
      <c r="X406" s="753"/>
      <c r="Y406" s="753"/>
      <c r="Z406" s="185">
        <f t="shared" ref="Z406:AV406" si="499">SUM(Z403:Z405)</f>
        <v>3220.5</v>
      </c>
      <c r="AA406" s="185">
        <f>SUM(AA403:AA405)</f>
        <v>2044.5</v>
      </c>
      <c r="AB406" s="801">
        <f t="shared" si="499"/>
        <v>16000</v>
      </c>
      <c r="AC406" s="185">
        <f>SUM(AC403:AC405)</f>
        <v>11000</v>
      </c>
      <c r="AD406" s="185">
        <f>SUM(AD403:AD405)</f>
        <v>27000</v>
      </c>
      <c r="AE406" s="185">
        <f t="shared" si="499"/>
        <v>27000</v>
      </c>
      <c r="AF406" s="185">
        <f t="shared" si="499"/>
        <v>11000</v>
      </c>
      <c r="AG406" s="185">
        <f t="shared" si="499"/>
        <v>16000</v>
      </c>
      <c r="AH406" s="185">
        <f t="shared" si="499"/>
        <v>2044.5</v>
      </c>
      <c r="AI406" s="185">
        <f t="shared" si="499"/>
        <v>10735</v>
      </c>
      <c r="AJ406" s="185">
        <f t="shared" si="499"/>
        <v>0</v>
      </c>
      <c r="AK406" s="185">
        <f t="shared" si="499"/>
        <v>10735</v>
      </c>
      <c r="AL406" s="185">
        <f t="shared" si="499"/>
        <v>0</v>
      </c>
      <c r="AM406" s="185">
        <f t="shared" si="499"/>
        <v>0</v>
      </c>
      <c r="AN406" s="185">
        <f t="shared" si="499"/>
        <v>0</v>
      </c>
      <c r="AO406" s="185">
        <f t="shared" si="499"/>
        <v>3220.5</v>
      </c>
      <c r="AP406" s="185">
        <f t="shared" si="499"/>
        <v>0</v>
      </c>
      <c r="AQ406" s="185">
        <f t="shared" si="499"/>
        <v>2044.5</v>
      </c>
      <c r="AR406" s="185">
        <f t="shared" si="499"/>
        <v>0</v>
      </c>
      <c r="AS406" s="185">
        <f t="shared" si="499"/>
        <v>0</v>
      </c>
      <c r="AT406" s="185">
        <f t="shared" si="499"/>
        <v>10735</v>
      </c>
      <c r="AU406" s="185">
        <f t="shared" si="499"/>
        <v>0</v>
      </c>
      <c r="AV406" s="185">
        <f t="shared" si="499"/>
        <v>0</v>
      </c>
      <c r="AW406" s="185">
        <f>SUM(AW403:AW405)</f>
        <v>10735</v>
      </c>
      <c r="AX406" s="185">
        <f>SUM(AX403:AX405)</f>
        <v>0</v>
      </c>
    </row>
    <row r="407" spans="2:50" s="78" customFormat="1" ht="31.5">
      <c r="B407" s="703"/>
      <c r="C407" s="180" t="s">
        <v>1278</v>
      </c>
      <c r="D407" s="207"/>
      <c r="E407" s="193"/>
      <c r="F407" s="193"/>
      <c r="G407" s="183">
        <f>G401+G406</f>
        <v>17988</v>
      </c>
      <c r="H407" s="742"/>
      <c r="I407" s="183"/>
      <c r="J407" s="742"/>
      <c r="K407" s="183"/>
      <c r="L407" s="183"/>
      <c r="M407" s="742"/>
      <c r="N407" s="183"/>
      <c r="O407" s="742"/>
      <c r="P407" s="183"/>
      <c r="Q407" s="183"/>
      <c r="R407" s="183">
        <f t="shared" ref="R407:AX407" si="500">R401+R406</f>
        <v>17988</v>
      </c>
      <c r="S407" s="183">
        <f t="shared" si="500"/>
        <v>2</v>
      </c>
      <c r="T407" s="183">
        <f t="shared" si="500"/>
        <v>0.5</v>
      </c>
      <c r="U407" s="183"/>
      <c r="V407" s="742"/>
      <c r="W407" s="183"/>
      <c r="X407" s="742"/>
      <c r="Y407" s="742"/>
      <c r="Z407" s="183">
        <f t="shared" si="500"/>
        <v>5396.4</v>
      </c>
      <c r="AA407" s="183">
        <f>AA401+AA406</f>
        <v>2044.5</v>
      </c>
      <c r="AB407" s="797">
        <f t="shared" si="500"/>
        <v>20714.45</v>
      </c>
      <c r="AC407" s="183">
        <f>AC401+AC406</f>
        <v>16285.55</v>
      </c>
      <c r="AD407" s="183">
        <f>AD401+AD406</f>
        <v>37000</v>
      </c>
      <c r="AE407" s="183">
        <f t="shared" si="500"/>
        <v>37000</v>
      </c>
      <c r="AF407" s="183">
        <f t="shared" si="500"/>
        <v>16285.55</v>
      </c>
      <c r="AG407" s="183">
        <f>AG401+AG406</f>
        <v>20000</v>
      </c>
      <c r="AH407" s="183">
        <f t="shared" si="500"/>
        <v>1330.0500000000002</v>
      </c>
      <c r="AI407" s="183">
        <f t="shared" si="500"/>
        <v>10735</v>
      </c>
      <c r="AJ407" s="183">
        <f t="shared" si="500"/>
        <v>3626.5</v>
      </c>
      <c r="AK407" s="183">
        <f t="shared" si="500"/>
        <v>10735</v>
      </c>
      <c r="AL407" s="183">
        <f t="shared" si="500"/>
        <v>3626.5</v>
      </c>
      <c r="AM407" s="183">
        <f t="shared" si="500"/>
        <v>0</v>
      </c>
      <c r="AN407" s="183">
        <f t="shared" si="500"/>
        <v>0</v>
      </c>
      <c r="AO407" s="183">
        <f t="shared" si="500"/>
        <v>3220.5</v>
      </c>
      <c r="AP407" s="183">
        <f t="shared" si="500"/>
        <v>1087.95</v>
      </c>
      <c r="AQ407" s="183">
        <f t="shared" si="500"/>
        <v>2044.5</v>
      </c>
      <c r="AR407" s="183">
        <f t="shared" si="500"/>
        <v>0</v>
      </c>
      <c r="AS407" s="183">
        <f t="shared" si="500"/>
        <v>0</v>
      </c>
      <c r="AT407" s="183">
        <f t="shared" si="500"/>
        <v>10735</v>
      </c>
      <c r="AU407" s="183">
        <f t="shared" si="500"/>
        <v>3626.5</v>
      </c>
      <c r="AV407" s="183">
        <f t="shared" si="500"/>
        <v>0</v>
      </c>
      <c r="AW407" s="183">
        <f t="shared" si="500"/>
        <v>14361.5</v>
      </c>
      <c r="AX407" s="183">
        <f t="shared" si="500"/>
        <v>0</v>
      </c>
    </row>
    <row r="408" spans="2:50" s="76" customFormat="1" ht="61.5">
      <c r="B408" s="703"/>
      <c r="C408" s="191" t="s">
        <v>1061</v>
      </c>
      <c r="D408" s="192"/>
      <c r="E408" s="193"/>
      <c r="F408" s="193"/>
      <c r="G408" s="193"/>
      <c r="H408" s="731"/>
      <c r="I408" s="193"/>
      <c r="J408" s="731"/>
      <c r="K408" s="193"/>
      <c r="L408" s="193"/>
      <c r="M408" s="731"/>
      <c r="N408" s="193"/>
      <c r="O408" s="731"/>
      <c r="P408" s="193"/>
      <c r="Q408" s="193"/>
      <c r="R408" s="193"/>
      <c r="S408" s="193"/>
      <c r="T408" s="193"/>
      <c r="U408" s="193"/>
      <c r="V408" s="732"/>
      <c r="W408" s="193"/>
      <c r="X408" s="732"/>
      <c r="Y408" s="732"/>
      <c r="Z408" s="193"/>
      <c r="AA408" s="193"/>
      <c r="AB408" s="795"/>
      <c r="AC408" s="195"/>
      <c r="AD408" s="195"/>
      <c r="AE408" s="195"/>
      <c r="AF408" s="195"/>
      <c r="AG408" s="195"/>
      <c r="AH408" s="195"/>
      <c r="AI408" s="203">
        <f>G408*S408</f>
        <v>0</v>
      </c>
      <c r="AJ408" s="203">
        <f>G408*T408</f>
        <v>0</v>
      </c>
      <c r="AK408" s="203">
        <f>R408*S408</f>
        <v>0</v>
      </c>
      <c r="AL408" s="203">
        <f>R408*T408</f>
        <v>0</v>
      </c>
      <c r="AM408" s="203">
        <f t="shared" ref="AM408:AN411" si="501">AK408-AI408</f>
        <v>0</v>
      </c>
      <c r="AN408" s="203">
        <f t="shared" si="501"/>
        <v>0</v>
      </c>
      <c r="AO408" s="205">
        <f>Z408*S408</f>
        <v>0</v>
      </c>
      <c r="AP408" s="205">
        <f>Z408*T408</f>
        <v>0</v>
      </c>
      <c r="AQ408" s="205">
        <f>AA408</f>
        <v>0</v>
      </c>
      <c r="AR408" s="205">
        <f>W408*S408</f>
        <v>0</v>
      </c>
      <c r="AS408" s="205">
        <f>W408*T408</f>
        <v>0</v>
      </c>
      <c r="AT408" s="209">
        <f t="shared" si="442"/>
        <v>0</v>
      </c>
      <c r="AU408" s="209">
        <f t="shared" si="442"/>
        <v>0</v>
      </c>
      <c r="AV408" s="203"/>
      <c r="AW408" s="251"/>
      <c r="AX408" s="251"/>
    </row>
    <row r="409" spans="2:50" s="76" customFormat="1" ht="63">
      <c r="B409" s="703">
        <f>1+B405</f>
        <v>265</v>
      </c>
      <c r="C409" s="197" t="s">
        <v>1064</v>
      </c>
      <c r="D409" s="198" t="s">
        <v>1751</v>
      </c>
      <c r="E409" s="703" t="s">
        <v>1110</v>
      </c>
      <c r="F409" s="703">
        <v>6</v>
      </c>
      <c r="G409" s="199">
        <v>4633</v>
      </c>
      <c r="H409" s="736"/>
      <c r="I409" s="199"/>
      <c r="J409" s="736"/>
      <c r="K409" s="199"/>
      <c r="L409" s="199"/>
      <c r="M409" s="736"/>
      <c r="N409" s="199"/>
      <c r="O409" s="736"/>
      <c r="P409" s="199"/>
      <c r="Q409" s="199"/>
      <c r="R409" s="199">
        <f>G409+I409+K409+L409+N409+P409+Q409</f>
        <v>4633</v>
      </c>
      <c r="S409" s="199">
        <v>1</v>
      </c>
      <c r="T409" s="199"/>
      <c r="U409" s="199"/>
      <c r="V409" s="736"/>
      <c r="W409" s="199"/>
      <c r="X409" s="718">
        <v>16</v>
      </c>
      <c r="Y409" s="737">
        <v>0.2</v>
      </c>
      <c r="Z409" s="199">
        <f>R409*Y409</f>
        <v>926.6</v>
      </c>
      <c r="AA409" s="199">
        <f>AH409</f>
        <v>2440.3999999999996</v>
      </c>
      <c r="AB409" s="796">
        <f>(R409+Z409)*S409+AA409</f>
        <v>8000</v>
      </c>
      <c r="AC409" s="738">
        <f>AF409</f>
        <v>5500</v>
      </c>
      <c r="AD409" s="738">
        <f>AB409+AC409</f>
        <v>13500</v>
      </c>
      <c r="AE409" s="202">
        <f>13500*S409</f>
        <v>13500</v>
      </c>
      <c r="AF409" s="202">
        <f>AE409-AB409</f>
        <v>5500</v>
      </c>
      <c r="AG409" s="738">
        <f>8000*S409</f>
        <v>8000</v>
      </c>
      <c r="AH409" s="202">
        <f>AG409-(R409+Z409)*S409</f>
        <v>2440.3999999999996</v>
      </c>
      <c r="AI409" s="203">
        <f>G409*S409</f>
        <v>4633</v>
      </c>
      <c r="AJ409" s="203">
        <f>G409*S409</f>
        <v>4633</v>
      </c>
      <c r="AK409" s="203">
        <f>R409*S409</f>
        <v>4633</v>
      </c>
      <c r="AL409" s="203">
        <f>R409*S409</f>
        <v>4633</v>
      </c>
      <c r="AM409" s="203">
        <f t="shared" si="501"/>
        <v>0</v>
      </c>
      <c r="AN409" s="203">
        <f t="shared" si="501"/>
        <v>0</v>
      </c>
      <c r="AO409" s="205">
        <f>Z409*S409</f>
        <v>926.6</v>
      </c>
      <c r="AP409" s="205">
        <f>Z409*T409</f>
        <v>0</v>
      </c>
      <c r="AQ409" s="205">
        <f>AA409</f>
        <v>2440.3999999999996</v>
      </c>
      <c r="AR409" s="205">
        <f>W409*S409</f>
        <v>0</v>
      </c>
      <c r="AS409" s="205">
        <f>W409*T409</f>
        <v>0</v>
      </c>
      <c r="AT409" s="209">
        <f t="shared" si="442"/>
        <v>4633</v>
      </c>
      <c r="AU409" s="209">
        <f t="shared" si="442"/>
        <v>4633</v>
      </c>
      <c r="AV409" s="203"/>
      <c r="AW409" s="251">
        <f>R409*S409</f>
        <v>4633</v>
      </c>
      <c r="AX409" s="251"/>
    </row>
    <row r="410" spans="2:50" s="76" customFormat="1" ht="63">
      <c r="B410" s="703">
        <f>B409+1</f>
        <v>266</v>
      </c>
      <c r="C410" s="197" t="s">
        <v>1064</v>
      </c>
      <c r="D410" s="198" t="s">
        <v>207</v>
      </c>
      <c r="E410" s="703" t="s">
        <v>208</v>
      </c>
      <c r="F410" s="703">
        <v>9</v>
      </c>
      <c r="G410" s="199">
        <v>5527</v>
      </c>
      <c r="H410" s="736"/>
      <c r="I410" s="199"/>
      <c r="J410" s="736"/>
      <c r="K410" s="199"/>
      <c r="L410" s="199"/>
      <c r="M410" s="736"/>
      <c r="N410" s="199"/>
      <c r="O410" s="736"/>
      <c r="P410" s="199"/>
      <c r="Q410" s="199"/>
      <c r="R410" s="199">
        <f>G410+I410+K410+L410+N410+P410+Q410</f>
        <v>5527</v>
      </c>
      <c r="S410" s="199"/>
      <c r="T410" s="199">
        <v>0.5</v>
      </c>
      <c r="U410" s="199"/>
      <c r="V410" s="736"/>
      <c r="W410" s="199"/>
      <c r="X410" s="718">
        <v>28</v>
      </c>
      <c r="Y410" s="737">
        <v>0.3</v>
      </c>
      <c r="Z410" s="199">
        <f>R410*Y410</f>
        <v>1658.1</v>
      </c>
      <c r="AA410" s="199">
        <f>AH410</f>
        <v>407.44999999999982</v>
      </c>
      <c r="AB410" s="796">
        <f>(R410+Z410)*T410+AA410</f>
        <v>4000</v>
      </c>
      <c r="AC410" s="738">
        <f>AF410</f>
        <v>2750</v>
      </c>
      <c r="AD410" s="738">
        <f>AB410+AC410</f>
        <v>6750</v>
      </c>
      <c r="AE410" s="202">
        <f>13500*T410</f>
        <v>6750</v>
      </c>
      <c r="AF410" s="202">
        <f>AE410-AB410</f>
        <v>2750</v>
      </c>
      <c r="AG410" s="738">
        <f>8000*T410</f>
        <v>4000</v>
      </c>
      <c r="AH410" s="202">
        <f>AG410-(R410+Z410)*T410</f>
        <v>407.44999999999982</v>
      </c>
      <c r="AI410" s="203">
        <f>G410*T410</f>
        <v>2763.5</v>
      </c>
      <c r="AJ410" s="203">
        <f>G410*T410</f>
        <v>2763.5</v>
      </c>
      <c r="AK410" s="203">
        <f>R410*T410</f>
        <v>2763.5</v>
      </c>
      <c r="AL410" s="203">
        <f>R410*T410</f>
        <v>2763.5</v>
      </c>
      <c r="AM410" s="203">
        <f t="shared" si="501"/>
        <v>0</v>
      </c>
      <c r="AN410" s="203">
        <f t="shared" si="501"/>
        <v>0</v>
      </c>
      <c r="AO410" s="205">
        <f>Z410*T410</f>
        <v>829.05</v>
      </c>
      <c r="AP410" s="205">
        <f>Z410*T410</f>
        <v>829.05</v>
      </c>
      <c r="AQ410" s="205">
        <f>AA410</f>
        <v>407.44999999999982</v>
      </c>
      <c r="AR410" s="205">
        <f>W410*T410</f>
        <v>0</v>
      </c>
      <c r="AS410" s="205">
        <f>W410*T410</f>
        <v>0</v>
      </c>
      <c r="AT410" s="209">
        <f>AK410</f>
        <v>2763.5</v>
      </c>
      <c r="AU410" s="209">
        <f>AL410</f>
        <v>2763.5</v>
      </c>
      <c r="AV410" s="203"/>
      <c r="AW410" s="251">
        <f>R410*T410</f>
        <v>2763.5</v>
      </c>
      <c r="AX410" s="251"/>
    </row>
    <row r="411" spans="2:50" s="76" customFormat="1" ht="63">
      <c r="B411" s="703">
        <f>1+B410</f>
        <v>267</v>
      </c>
      <c r="C411" s="197" t="s">
        <v>1066</v>
      </c>
      <c r="D411" s="198" t="s">
        <v>1176</v>
      </c>
      <c r="E411" s="703" t="s">
        <v>276</v>
      </c>
      <c r="F411" s="703">
        <v>9</v>
      </c>
      <c r="G411" s="199">
        <v>5527</v>
      </c>
      <c r="H411" s="736"/>
      <c r="I411" s="199"/>
      <c r="J411" s="736"/>
      <c r="K411" s="199"/>
      <c r="L411" s="199"/>
      <c r="M411" s="736"/>
      <c r="N411" s="199"/>
      <c r="O411" s="736"/>
      <c r="P411" s="199"/>
      <c r="Q411" s="199"/>
      <c r="R411" s="199">
        <f>G411+I411+K411+L411+N411+P411+Q411</f>
        <v>5527</v>
      </c>
      <c r="S411" s="199"/>
      <c r="T411" s="199">
        <v>0.5</v>
      </c>
      <c r="U411" s="199"/>
      <c r="V411" s="736"/>
      <c r="W411" s="199"/>
      <c r="X411" s="741">
        <v>41</v>
      </c>
      <c r="Y411" s="737">
        <v>0.3</v>
      </c>
      <c r="Z411" s="199">
        <f>R411*Y411</f>
        <v>1658.1</v>
      </c>
      <c r="AA411" s="199">
        <f>AH411</f>
        <v>407.44999999999982</v>
      </c>
      <c r="AB411" s="796">
        <f>(R411+Z411)*T411+AA411</f>
        <v>4000</v>
      </c>
      <c r="AC411" s="738">
        <f>AF411</f>
        <v>2750</v>
      </c>
      <c r="AD411" s="738">
        <f>AB411+AC411</f>
        <v>6750</v>
      </c>
      <c r="AE411" s="202">
        <f>13500*T411</f>
        <v>6750</v>
      </c>
      <c r="AF411" s="202">
        <f>AE411-AB411</f>
        <v>2750</v>
      </c>
      <c r="AG411" s="738">
        <f>8000*T411</f>
        <v>4000</v>
      </c>
      <c r="AH411" s="202">
        <f>AG411-(R411+Z411)*T411</f>
        <v>407.44999999999982</v>
      </c>
      <c r="AI411" s="203">
        <f>G411*T411</f>
        <v>2763.5</v>
      </c>
      <c r="AJ411" s="203">
        <f>G411*T411</f>
        <v>2763.5</v>
      </c>
      <c r="AK411" s="203">
        <f>R411*T411</f>
        <v>2763.5</v>
      </c>
      <c r="AL411" s="203">
        <f>R411*T411</f>
        <v>2763.5</v>
      </c>
      <c r="AM411" s="203">
        <f t="shared" si="501"/>
        <v>0</v>
      </c>
      <c r="AN411" s="203">
        <f t="shared" si="501"/>
        <v>0</v>
      </c>
      <c r="AO411" s="205">
        <f>Z411*T411</f>
        <v>829.05</v>
      </c>
      <c r="AP411" s="205">
        <f>Z411*T411</f>
        <v>829.05</v>
      </c>
      <c r="AQ411" s="205">
        <f>AA411</f>
        <v>407.44999999999982</v>
      </c>
      <c r="AR411" s="205">
        <f>W411*T411</f>
        <v>0</v>
      </c>
      <c r="AS411" s="205">
        <f>W411*T411</f>
        <v>0</v>
      </c>
      <c r="AT411" s="209">
        <f>AK411</f>
        <v>2763.5</v>
      </c>
      <c r="AU411" s="209">
        <f>AL411</f>
        <v>2763.5</v>
      </c>
      <c r="AV411" s="203"/>
      <c r="AW411" s="251">
        <f>R411*T411</f>
        <v>2763.5</v>
      </c>
      <c r="AX411" s="251"/>
    </row>
    <row r="412" spans="2:50" s="179" customFormat="1" ht="33">
      <c r="B412" s="191"/>
      <c r="C412" s="180" t="s">
        <v>1736</v>
      </c>
      <c r="D412" s="223"/>
      <c r="E412" s="193"/>
      <c r="F412" s="193"/>
      <c r="G412" s="183">
        <f>SUM(G409:G411)</f>
        <v>15687</v>
      </c>
      <c r="H412" s="742"/>
      <c r="I412" s="183">
        <f>SUM(I409:I411)</f>
        <v>0</v>
      </c>
      <c r="J412" s="732"/>
      <c r="K412" s="193"/>
      <c r="L412" s="193"/>
      <c r="M412" s="732"/>
      <c r="N412" s="183">
        <f>SUM(N409:N411)</f>
        <v>0</v>
      </c>
      <c r="O412" s="732"/>
      <c r="P412" s="193"/>
      <c r="Q412" s="193"/>
      <c r="R412" s="183">
        <f>SUM(R409:R411)</f>
        <v>15687</v>
      </c>
      <c r="S412" s="183">
        <f>SUM(S409:S411)</f>
        <v>1</v>
      </c>
      <c r="T412" s="183">
        <f>SUM(T409:T411)</f>
        <v>1</v>
      </c>
      <c r="U412" s="183"/>
      <c r="V412" s="742"/>
      <c r="W412" s="183"/>
      <c r="X412" s="742"/>
      <c r="Y412" s="742"/>
      <c r="Z412" s="183">
        <f t="shared" ref="Z412:AG412" si="502">SUM(Z409:Z411)</f>
        <v>4242.7999999999993</v>
      </c>
      <c r="AA412" s="183">
        <f t="shared" si="502"/>
        <v>3255.2999999999993</v>
      </c>
      <c r="AB412" s="797">
        <f t="shared" si="502"/>
        <v>16000</v>
      </c>
      <c r="AC412" s="183">
        <f t="shared" si="502"/>
        <v>11000</v>
      </c>
      <c r="AD412" s="183">
        <f t="shared" si="502"/>
        <v>27000</v>
      </c>
      <c r="AE412" s="183">
        <f t="shared" si="502"/>
        <v>27000</v>
      </c>
      <c r="AF412" s="183">
        <f t="shared" si="502"/>
        <v>11000</v>
      </c>
      <c r="AG412" s="183">
        <f t="shared" si="502"/>
        <v>16000</v>
      </c>
      <c r="AH412" s="183">
        <f t="shared" ref="AH412:AV412" si="503">SUM(AH409:AH411)</f>
        <v>3255.2999999999993</v>
      </c>
      <c r="AI412" s="183">
        <f t="shared" si="503"/>
        <v>10160</v>
      </c>
      <c r="AJ412" s="183">
        <f t="shared" si="503"/>
        <v>10160</v>
      </c>
      <c r="AK412" s="183">
        <f t="shared" si="503"/>
        <v>10160</v>
      </c>
      <c r="AL412" s="183">
        <f t="shared" si="503"/>
        <v>10160</v>
      </c>
      <c r="AM412" s="183">
        <f t="shared" si="503"/>
        <v>0</v>
      </c>
      <c r="AN412" s="183">
        <f t="shared" si="503"/>
        <v>0</v>
      </c>
      <c r="AO412" s="183">
        <f t="shared" si="503"/>
        <v>2584.6999999999998</v>
      </c>
      <c r="AP412" s="183">
        <f t="shared" si="503"/>
        <v>1658.1</v>
      </c>
      <c r="AQ412" s="183">
        <f t="shared" si="503"/>
        <v>3255.2999999999993</v>
      </c>
      <c r="AR412" s="183">
        <f t="shared" si="503"/>
        <v>0</v>
      </c>
      <c r="AS412" s="183">
        <f t="shared" si="503"/>
        <v>0</v>
      </c>
      <c r="AT412" s="183">
        <f t="shared" si="503"/>
        <v>10160</v>
      </c>
      <c r="AU412" s="183">
        <f t="shared" si="503"/>
        <v>10160</v>
      </c>
      <c r="AV412" s="183">
        <f t="shared" si="503"/>
        <v>0</v>
      </c>
      <c r="AW412" s="183">
        <f>SUM(AW409:AW411)</f>
        <v>10160</v>
      </c>
      <c r="AX412" s="183">
        <f>SUM(AX409:AX411)</f>
        <v>0</v>
      </c>
    </row>
    <row r="413" spans="2:50" s="179" customFormat="1" ht="33">
      <c r="B413" s="180"/>
      <c r="C413" s="180"/>
      <c r="D413" s="188"/>
      <c r="E413" s="180"/>
      <c r="F413" s="180"/>
      <c r="G413" s="181">
        <f>G19+G27+G32+G42+G87+G127+G160+G180+G202+G224+G242+G288+G321+G344+G348+G367+G378+G396+G407+G412</f>
        <v>1452204.125</v>
      </c>
      <c r="H413" s="756"/>
      <c r="I413" s="181">
        <f>I19+I27+I32+I42+I87+I127+I160+I180+I202+I224+I242+I288+I321+I344+I348+I367+I378+I396+I407+I412</f>
        <v>14179.45</v>
      </c>
      <c r="J413" s="756"/>
      <c r="K413" s="181">
        <f>K19+K27+K32+K42+K87+K127+K160+K180+K202+K224+K242+K288+K321+K344+K348+K367+K378+K396+K407+K412</f>
        <v>35315.009999999995</v>
      </c>
      <c r="L413" s="181"/>
      <c r="M413" s="756"/>
      <c r="N413" s="181">
        <f>N19+N27+N32+N42+N87+N127+N160+N180+N202+N224+N242+N288+N321+N344+N348+N367+N378+N396+N407+N412</f>
        <v>10469.3685</v>
      </c>
      <c r="O413" s="756"/>
      <c r="P413" s="181">
        <f>P19+P27+P32+P42+P87+P127+P160+P180+P202+P224+P242+P288+P321+P344+P348+P367+P378+P396+P407+P412</f>
        <v>49691.115000000005</v>
      </c>
      <c r="Q413" s="181"/>
      <c r="R413" s="181">
        <f>R19+R27+R32+R42+R87+R127+R160+R180+R202+R224+R242+R288+R321+R344+R348+R367+R378+R396+R407+R412</f>
        <v>1586058.6374999997</v>
      </c>
      <c r="S413" s="182">
        <f>S19+S27+S32+S42+S87+S127+S160+S180+S202+S224+S242+S288+S321+S344+S348+S367+S378+S396+S407+S412</f>
        <v>224.75</v>
      </c>
      <c r="T413" s="182">
        <f>T19+T27+T32+T42+T87+T127+T160+T180+T202+T224+T242+T288+T321+T344+T348+T367+T378+T396+T407+T412</f>
        <v>16.5</v>
      </c>
      <c r="U413" s="181"/>
      <c r="V413" s="756"/>
      <c r="W413" s="181">
        <f>W19+W27+W32+W42+W87+W127+W160+W180+W202+W224+W242+W288+W321+W344+W348+W367+W378+W396+W407+W412</f>
        <v>18546.7</v>
      </c>
      <c r="X413" s="756"/>
      <c r="Y413" s="756"/>
      <c r="Z413" s="181">
        <f t="shared" ref="Z413:AV413" si="504">Z19+Z27+Z32+Z42+Z87+Z127+Z160+Z180+Z202+Z224+Z242+Z288+Z321+Z344+Z348+Z367+Z378+Z396+Z407+Z412</f>
        <v>281591.71659999999</v>
      </c>
      <c r="AA413" s="181">
        <f t="shared" si="504"/>
        <v>431933.76124999998</v>
      </c>
      <c r="AB413" s="802">
        <f t="shared" si="504"/>
        <v>2113844.6066000005</v>
      </c>
      <c r="AC413" s="181">
        <f>AC19+AC27+AC32+AC42+AC87+AC127+AC160+AC180+AC202+AC224+AC242+AC288+AC321+AC344+AC348+AC367+AC378+AC396+AC407+AC412</f>
        <v>992784.94034999993</v>
      </c>
      <c r="AD413" s="181">
        <f t="shared" si="504"/>
        <v>3106629.5469499999</v>
      </c>
      <c r="AE413" s="181">
        <f t="shared" si="504"/>
        <v>3106278.920225</v>
      </c>
      <c r="AF413" s="181">
        <f t="shared" si="504"/>
        <v>992434.31362500007</v>
      </c>
      <c r="AG413" s="181">
        <f>AG19+AG27+AG32+AG42+AG87+AG127+AG160+AG180+AG202+AG224+AG242+AG288+AG321+AG344+AG348+AG367+AG378+AG396+AG407+AG412</f>
        <v>1930000</v>
      </c>
      <c r="AH413" s="181">
        <f t="shared" si="504"/>
        <v>384042.09925000003</v>
      </c>
      <c r="AI413" s="181">
        <f t="shared" si="504"/>
        <v>1214111.875</v>
      </c>
      <c r="AJ413" s="181">
        <f t="shared" si="504"/>
        <v>112999.5</v>
      </c>
      <c r="AK413" s="181">
        <f t="shared" si="504"/>
        <v>1308806.4750000001</v>
      </c>
      <c r="AL413" s="181">
        <f t="shared" si="504"/>
        <v>116005.1875</v>
      </c>
      <c r="AM413" s="181">
        <f t="shared" si="504"/>
        <v>97743.287500000006</v>
      </c>
      <c r="AN413" s="181">
        <f t="shared" si="504"/>
        <v>2787.625</v>
      </c>
      <c r="AO413" s="181">
        <f t="shared" si="504"/>
        <v>238468.01659999997</v>
      </c>
      <c r="AP413" s="181">
        <f t="shared" si="504"/>
        <v>22314.401249999999</v>
      </c>
      <c r="AQ413" s="181">
        <f t="shared" si="504"/>
        <v>427917.24</v>
      </c>
      <c r="AR413" s="181">
        <f t="shared" si="504"/>
        <v>18546.7</v>
      </c>
      <c r="AS413" s="181">
        <f t="shared" si="504"/>
        <v>0</v>
      </c>
      <c r="AT413" s="181">
        <f t="shared" si="504"/>
        <v>1304674.6625000001</v>
      </c>
      <c r="AU413" s="181">
        <f t="shared" si="504"/>
        <v>114333.375</v>
      </c>
      <c r="AV413" s="181">
        <f t="shared" si="504"/>
        <v>0</v>
      </c>
      <c r="AW413" s="181">
        <f>AW19+AW27+AW32+AW42+AW87+AW127+AW160+AW180+AW202+AW224+AW242+AW288+AW321+AW344+AW348+AW367+AW378+AW396+AW407+AW412</f>
        <v>1407007.6249999995</v>
      </c>
      <c r="AX413" s="181">
        <f>AX19+AX27+AX32+AX42+AX87+AX127+AX160+AX180+AX202+AX224+AX242+AX288+AX321+AX344+AX348+AX367+AX378+AX396+AX407+AX412</f>
        <v>88895.873500000002</v>
      </c>
    </row>
    <row r="414" spans="2:50" s="78" customFormat="1" ht="30.75">
      <c r="B414" s="180"/>
      <c r="C414" s="180"/>
      <c r="D414" s="188"/>
      <c r="E414" s="180"/>
      <c r="F414" s="180"/>
      <c r="G414" s="180"/>
      <c r="H414" s="757"/>
      <c r="I414" s="180"/>
      <c r="J414" s="757"/>
      <c r="K414" s="180"/>
      <c r="L414" s="180"/>
      <c r="M414" s="757"/>
      <c r="N414" s="180"/>
      <c r="O414" s="757"/>
      <c r="P414" s="180"/>
      <c r="Q414" s="180"/>
      <c r="R414" s="180"/>
      <c r="S414" s="180"/>
      <c r="T414" s="180"/>
      <c r="U414" s="180"/>
      <c r="V414" s="757"/>
      <c r="W414" s="180"/>
      <c r="X414" s="757"/>
      <c r="Y414" s="757"/>
      <c r="Z414" s="180"/>
      <c r="AA414" s="180"/>
      <c r="AB414" s="803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  <c r="AW414" s="178"/>
      <c r="AX414" s="178"/>
    </row>
    <row r="415" spans="2:50" s="232" customFormat="1" ht="27.75">
      <c r="B415" s="229"/>
      <c r="C415" s="123" t="str">
        <f>C9</f>
        <v>АДМІНІСТРАЦІЯ</v>
      </c>
      <c r="D415" s="229"/>
      <c r="E415" s="229"/>
      <c r="F415" s="229"/>
      <c r="G415" s="229"/>
      <c r="H415" s="758"/>
      <c r="I415" s="229"/>
      <c r="J415" s="758"/>
      <c r="K415" s="229"/>
      <c r="L415" s="229"/>
      <c r="M415" s="758"/>
      <c r="N415" s="229"/>
      <c r="O415" s="758"/>
      <c r="P415" s="229"/>
      <c r="Q415" s="229"/>
      <c r="R415" s="229"/>
      <c r="S415" s="230">
        <f>S19</f>
        <v>6</v>
      </c>
      <c r="T415" s="230">
        <f>T19</f>
        <v>0</v>
      </c>
      <c r="U415" s="230"/>
      <c r="V415" s="752"/>
      <c r="W415" s="230"/>
      <c r="X415" s="752"/>
      <c r="Y415" s="752"/>
      <c r="Z415" s="230"/>
      <c r="AA415" s="230"/>
      <c r="AB415" s="804">
        <f t="shared" ref="AB415:AW415" si="505">AB19</f>
        <v>92933.417099999991</v>
      </c>
      <c r="AC415" s="231">
        <f t="shared" si="505"/>
        <v>5295.3033499999983</v>
      </c>
      <c r="AD415" s="231">
        <f t="shared" si="505"/>
        <v>98228.720449999993</v>
      </c>
      <c r="AE415" s="231">
        <f t="shared" si="505"/>
        <v>97878.093724999999</v>
      </c>
      <c r="AF415" s="231">
        <f t="shared" si="505"/>
        <v>4944.6766250000001</v>
      </c>
      <c r="AG415" s="231">
        <f t="shared" si="505"/>
        <v>48000</v>
      </c>
      <c r="AH415" s="231">
        <f t="shared" si="505"/>
        <v>3367</v>
      </c>
      <c r="AI415" s="231">
        <f t="shared" si="505"/>
        <v>59165.015000000007</v>
      </c>
      <c r="AJ415" s="231">
        <f t="shared" si="505"/>
        <v>0</v>
      </c>
      <c r="AK415" s="231">
        <f t="shared" si="505"/>
        <v>73198.225999999995</v>
      </c>
      <c r="AL415" s="231">
        <f t="shared" si="505"/>
        <v>0</v>
      </c>
      <c r="AM415" s="231">
        <f t="shared" si="505"/>
        <v>14033.210999999999</v>
      </c>
      <c r="AN415" s="231">
        <f t="shared" si="505"/>
        <v>0</v>
      </c>
      <c r="AO415" s="231">
        <f t="shared" si="505"/>
        <v>16368.191099999998</v>
      </c>
      <c r="AP415" s="231">
        <f t="shared" si="505"/>
        <v>0</v>
      </c>
      <c r="AQ415" s="231">
        <f t="shared" si="505"/>
        <v>3367</v>
      </c>
      <c r="AR415" s="231">
        <f t="shared" si="505"/>
        <v>0</v>
      </c>
      <c r="AS415" s="231">
        <f t="shared" si="505"/>
        <v>0</v>
      </c>
      <c r="AT415" s="231">
        <f t="shared" si="505"/>
        <v>73198.225999999995</v>
      </c>
      <c r="AU415" s="231">
        <f t="shared" si="505"/>
        <v>0</v>
      </c>
      <c r="AV415" s="231">
        <f t="shared" si="505"/>
        <v>0</v>
      </c>
      <c r="AW415" s="231">
        <f t="shared" si="505"/>
        <v>73198.225999999995</v>
      </c>
      <c r="AX415" s="229"/>
    </row>
    <row r="416" spans="2:50" s="232" customFormat="1" ht="27.75">
      <c r="B416" s="229"/>
      <c r="C416" s="123" t="str">
        <f>C20</f>
        <v>БУХГАЛТЕРСЬКИЙ ВІДДІЛ</v>
      </c>
      <c r="D416" s="229"/>
      <c r="E416" s="229"/>
      <c r="F416" s="229"/>
      <c r="G416" s="229"/>
      <c r="H416" s="758"/>
      <c r="I416" s="229"/>
      <c r="J416" s="758"/>
      <c r="K416" s="229"/>
      <c r="L416" s="229"/>
      <c r="M416" s="758"/>
      <c r="N416" s="229"/>
      <c r="O416" s="758"/>
      <c r="P416" s="229"/>
      <c r="Q416" s="229"/>
      <c r="R416" s="229"/>
      <c r="S416" s="230">
        <f>S27</f>
        <v>5</v>
      </c>
      <c r="T416" s="230">
        <f>T27</f>
        <v>0.5</v>
      </c>
      <c r="U416" s="230"/>
      <c r="V416" s="752"/>
      <c r="W416" s="230"/>
      <c r="X416" s="752"/>
      <c r="Y416" s="752"/>
      <c r="Z416" s="230"/>
      <c r="AA416" s="230"/>
      <c r="AB416" s="804">
        <f t="shared" ref="AB416:AV416" si="506">AB27</f>
        <v>48604.126499999998</v>
      </c>
      <c r="AC416" s="231">
        <f t="shared" si="506"/>
        <v>0</v>
      </c>
      <c r="AD416" s="231">
        <f t="shared" si="506"/>
        <v>48604.126499999998</v>
      </c>
      <c r="AE416" s="231">
        <f t="shared" si="506"/>
        <v>48604.126499999998</v>
      </c>
      <c r="AF416" s="231">
        <f t="shared" si="506"/>
        <v>0</v>
      </c>
      <c r="AG416" s="231">
        <f t="shared" si="506"/>
        <v>44000</v>
      </c>
      <c r="AH416" s="231">
        <f t="shared" si="506"/>
        <v>14274.5</v>
      </c>
      <c r="AI416" s="231">
        <f t="shared" si="506"/>
        <v>32685.61</v>
      </c>
      <c r="AJ416" s="231">
        <f t="shared" si="506"/>
        <v>6965.5</v>
      </c>
      <c r="AK416" s="231">
        <f t="shared" si="506"/>
        <v>34329.626499999998</v>
      </c>
      <c r="AL416" s="231">
        <f t="shared" si="506"/>
        <v>2907.5</v>
      </c>
      <c r="AM416" s="231">
        <f t="shared" si="506"/>
        <v>1644.0164999999997</v>
      </c>
      <c r="AN416" s="231">
        <f t="shared" si="506"/>
        <v>-4058</v>
      </c>
      <c r="AO416" s="231">
        <f t="shared" si="506"/>
        <v>0</v>
      </c>
      <c r="AP416" s="231">
        <f t="shared" si="506"/>
        <v>0</v>
      </c>
      <c r="AQ416" s="231">
        <f t="shared" si="506"/>
        <v>14274.5</v>
      </c>
      <c r="AR416" s="231">
        <f t="shared" si="506"/>
        <v>0</v>
      </c>
      <c r="AS416" s="231">
        <f t="shared" si="506"/>
        <v>0</v>
      </c>
      <c r="AT416" s="231">
        <f t="shared" si="506"/>
        <v>34329.626499999998</v>
      </c>
      <c r="AU416" s="231">
        <f t="shared" si="506"/>
        <v>2907.5</v>
      </c>
      <c r="AV416" s="231">
        <f t="shared" si="506"/>
        <v>0</v>
      </c>
      <c r="AW416" s="231">
        <f>AW27</f>
        <v>34329.626499999998</v>
      </c>
      <c r="AX416" s="229"/>
    </row>
    <row r="417" spans="2:50" s="232" customFormat="1" ht="27.75">
      <c r="B417" s="229"/>
      <c r="C417" s="123" t="str">
        <f>C28</f>
        <v>ІНФОРМАЦІЙНО - АНАЛІТИЧНИЙ ВІДДІЛ</v>
      </c>
      <c r="D417" s="229"/>
      <c r="E417" s="229"/>
      <c r="F417" s="229"/>
      <c r="G417" s="229"/>
      <c r="H417" s="758"/>
      <c r="I417" s="229"/>
      <c r="J417" s="758"/>
      <c r="K417" s="229"/>
      <c r="L417" s="229"/>
      <c r="M417" s="758"/>
      <c r="N417" s="229"/>
      <c r="O417" s="758"/>
      <c r="P417" s="229"/>
      <c r="Q417" s="229"/>
      <c r="R417" s="229"/>
      <c r="S417" s="230">
        <f>S32</f>
        <v>2</v>
      </c>
      <c r="T417" s="230">
        <f>T32</f>
        <v>0.5</v>
      </c>
      <c r="U417" s="230"/>
      <c r="V417" s="752"/>
      <c r="W417" s="230"/>
      <c r="X417" s="752"/>
      <c r="Y417" s="752"/>
      <c r="Z417" s="230"/>
      <c r="AA417" s="230"/>
      <c r="AB417" s="804">
        <f t="shared" ref="AB417:AW417" si="507">AB32</f>
        <v>20000</v>
      </c>
      <c r="AC417" s="231">
        <f t="shared" si="507"/>
        <v>2750</v>
      </c>
      <c r="AD417" s="231">
        <f t="shared" si="507"/>
        <v>22750</v>
      </c>
      <c r="AE417" s="231">
        <f t="shared" si="507"/>
        <v>22750</v>
      </c>
      <c r="AF417" s="231">
        <f t="shared" si="507"/>
        <v>2750</v>
      </c>
      <c r="AG417" s="231">
        <f t="shared" si="507"/>
        <v>20000</v>
      </c>
      <c r="AH417" s="231">
        <f t="shared" si="507"/>
        <v>7591</v>
      </c>
      <c r="AI417" s="231">
        <f t="shared" si="507"/>
        <v>11885</v>
      </c>
      <c r="AJ417" s="231">
        <f t="shared" si="507"/>
        <v>2620</v>
      </c>
      <c r="AK417" s="231">
        <f t="shared" si="507"/>
        <v>9265</v>
      </c>
      <c r="AL417" s="231">
        <f t="shared" si="507"/>
        <v>2620</v>
      </c>
      <c r="AM417" s="231">
        <f t="shared" si="507"/>
        <v>-2620</v>
      </c>
      <c r="AN417" s="231">
        <f t="shared" si="507"/>
        <v>0</v>
      </c>
      <c r="AO417" s="231">
        <f t="shared" si="507"/>
        <v>524</v>
      </c>
      <c r="AP417" s="231">
        <f t="shared" si="507"/>
        <v>524</v>
      </c>
      <c r="AQ417" s="231">
        <f t="shared" si="507"/>
        <v>7591</v>
      </c>
      <c r="AR417" s="231">
        <f t="shared" si="507"/>
        <v>0</v>
      </c>
      <c r="AS417" s="231">
        <f t="shared" si="507"/>
        <v>0</v>
      </c>
      <c r="AT417" s="231">
        <f t="shared" si="507"/>
        <v>9265</v>
      </c>
      <c r="AU417" s="231">
        <f t="shared" si="507"/>
        <v>2620</v>
      </c>
      <c r="AV417" s="231">
        <f t="shared" si="507"/>
        <v>0</v>
      </c>
      <c r="AW417" s="231">
        <f t="shared" si="507"/>
        <v>11885</v>
      </c>
      <c r="AX417" s="229"/>
    </row>
    <row r="418" spans="2:50" s="232" customFormat="1" ht="52.5">
      <c r="B418" s="229"/>
      <c r="C418" s="123" t="str">
        <f>C33</f>
        <v>ВІДДІЛ ПРАЦІ ТА СОЦІАЛЬНО-ПРАВОВОГО ЗАБЕЗПЕЧЕННЯ</v>
      </c>
      <c r="D418" s="229"/>
      <c r="E418" s="229"/>
      <c r="F418" s="229"/>
      <c r="G418" s="229"/>
      <c r="H418" s="758"/>
      <c r="I418" s="229"/>
      <c r="J418" s="758"/>
      <c r="K418" s="229"/>
      <c r="L418" s="229"/>
      <c r="M418" s="758"/>
      <c r="N418" s="229"/>
      <c r="O418" s="758"/>
      <c r="P418" s="229"/>
      <c r="Q418" s="229"/>
      <c r="R418" s="229"/>
      <c r="S418" s="230">
        <f>S42</f>
        <v>4.5</v>
      </c>
      <c r="T418" s="230">
        <f>T42</f>
        <v>1</v>
      </c>
      <c r="U418" s="230"/>
      <c r="V418" s="752"/>
      <c r="W418" s="230"/>
      <c r="X418" s="752"/>
      <c r="Y418" s="752"/>
      <c r="Z418" s="230"/>
      <c r="AA418" s="230"/>
      <c r="AB418" s="804">
        <f t="shared" ref="AB418:AW418" si="508">AB42</f>
        <v>44000</v>
      </c>
      <c r="AC418" s="231">
        <f t="shared" si="508"/>
        <v>0</v>
      </c>
      <c r="AD418" s="231">
        <f t="shared" si="508"/>
        <v>44000</v>
      </c>
      <c r="AE418" s="231">
        <f t="shared" si="508"/>
        <v>44000</v>
      </c>
      <c r="AF418" s="231">
        <f t="shared" si="508"/>
        <v>0</v>
      </c>
      <c r="AG418" s="231">
        <f t="shared" si="508"/>
        <v>44000</v>
      </c>
      <c r="AH418" s="231">
        <f t="shared" si="508"/>
        <v>14910.5</v>
      </c>
      <c r="AI418" s="231">
        <f t="shared" si="508"/>
        <v>29089.5</v>
      </c>
      <c r="AJ418" s="231">
        <f t="shared" si="508"/>
        <v>10527</v>
      </c>
      <c r="AK418" s="231">
        <f t="shared" si="508"/>
        <v>29089.5</v>
      </c>
      <c r="AL418" s="231">
        <f t="shared" si="508"/>
        <v>4920</v>
      </c>
      <c r="AM418" s="231">
        <f t="shared" si="508"/>
        <v>0</v>
      </c>
      <c r="AN418" s="231">
        <f t="shared" si="508"/>
        <v>-5607</v>
      </c>
      <c r="AO418" s="231">
        <f t="shared" si="508"/>
        <v>0</v>
      </c>
      <c r="AP418" s="231">
        <f t="shared" si="508"/>
        <v>0</v>
      </c>
      <c r="AQ418" s="231">
        <f t="shared" si="508"/>
        <v>13370.5</v>
      </c>
      <c r="AR418" s="231">
        <f t="shared" si="508"/>
        <v>0</v>
      </c>
      <c r="AS418" s="231">
        <f t="shared" si="508"/>
        <v>0</v>
      </c>
      <c r="AT418" s="231">
        <f t="shared" si="508"/>
        <v>26629.5</v>
      </c>
      <c r="AU418" s="231">
        <f t="shared" si="508"/>
        <v>4920</v>
      </c>
      <c r="AV418" s="231">
        <f t="shared" si="508"/>
        <v>0</v>
      </c>
      <c r="AW418" s="231">
        <f t="shared" si="508"/>
        <v>29089.5</v>
      </c>
      <c r="AX418" s="229"/>
    </row>
    <row r="419" spans="2:50" s="232" customFormat="1" ht="27.75">
      <c r="B419" s="229"/>
      <c r="C419" s="123" t="str">
        <f>C43</f>
        <v>ГОСПОДАРСЬКИЙ ВІДДІЛ</v>
      </c>
      <c r="D419" s="229"/>
      <c r="E419" s="229"/>
      <c r="F419" s="229"/>
      <c r="G419" s="229"/>
      <c r="H419" s="758"/>
      <c r="I419" s="229"/>
      <c r="J419" s="758"/>
      <c r="K419" s="229"/>
      <c r="L419" s="229"/>
      <c r="M419" s="758"/>
      <c r="N419" s="229"/>
      <c r="O419" s="758"/>
      <c r="P419" s="229"/>
      <c r="Q419" s="229"/>
      <c r="R419" s="229"/>
      <c r="S419" s="233">
        <f>S87</f>
        <v>30.5</v>
      </c>
      <c r="T419" s="233">
        <f>T87</f>
        <v>3</v>
      </c>
      <c r="U419" s="233"/>
      <c r="V419" s="747"/>
      <c r="W419" s="233"/>
      <c r="X419" s="747"/>
      <c r="Y419" s="747"/>
      <c r="Z419" s="233"/>
      <c r="AA419" s="233"/>
      <c r="AB419" s="804">
        <f t="shared" ref="AB419:AW419" si="509">AB87</f>
        <v>269278</v>
      </c>
      <c r="AC419" s="231">
        <f t="shared" si="509"/>
        <v>0</v>
      </c>
      <c r="AD419" s="231">
        <f t="shared" si="509"/>
        <v>269278</v>
      </c>
      <c r="AE419" s="231">
        <f t="shared" si="509"/>
        <v>269278</v>
      </c>
      <c r="AF419" s="231">
        <f t="shared" si="509"/>
        <v>0</v>
      </c>
      <c r="AG419" s="231">
        <f t="shared" si="509"/>
        <v>268000</v>
      </c>
      <c r="AH419" s="231">
        <f t="shared" si="509"/>
        <v>135458.6</v>
      </c>
      <c r="AI419" s="231">
        <f t="shared" si="509"/>
        <v>119493</v>
      </c>
      <c r="AJ419" s="231">
        <f t="shared" si="509"/>
        <v>11741.5</v>
      </c>
      <c r="AK419" s="231">
        <f t="shared" si="509"/>
        <v>124074.6</v>
      </c>
      <c r="AL419" s="231">
        <f t="shared" si="509"/>
        <v>12901.3</v>
      </c>
      <c r="AM419" s="231">
        <f t="shared" si="509"/>
        <v>4581.6000000000004</v>
      </c>
      <c r="AN419" s="231">
        <f t="shared" si="509"/>
        <v>1159.8000000000002</v>
      </c>
      <c r="AO419" s="231">
        <f t="shared" si="509"/>
        <v>0</v>
      </c>
      <c r="AP419" s="231">
        <f t="shared" si="509"/>
        <v>0</v>
      </c>
      <c r="AQ419" s="231">
        <f t="shared" si="509"/>
        <v>135458.6</v>
      </c>
      <c r="AR419" s="231">
        <f t="shared" si="509"/>
        <v>1278</v>
      </c>
      <c r="AS419" s="231">
        <f t="shared" si="509"/>
        <v>0</v>
      </c>
      <c r="AT419" s="231">
        <f t="shared" si="509"/>
        <v>124074.6</v>
      </c>
      <c r="AU419" s="231">
        <f t="shared" si="509"/>
        <v>12901.3</v>
      </c>
      <c r="AV419" s="231">
        <f t="shared" si="509"/>
        <v>0</v>
      </c>
      <c r="AW419" s="231">
        <f t="shared" si="509"/>
        <v>132541.4</v>
      </c>
      <c r="AX419" s="229"/>
    </row>
    <row r="420" spans="2:50" s="232" customFormat="1" ht="27.75">
      <c r="B420" s="229"/>
      <c r="C420" s="123" t="str">
        <f>C88</f>
        <v>ПОЛІКЛІНІКА</v>
      </c>
      <c r="D420" s="229"/>
      <c r="E420" s="229"/>
      <c r="F420" s="229"/>
      <c r="G420" s="229"/>
      <c r="H420" s="758"/>
      <c r="I420" s="229"/>
      <c r="J420" s="758"/>
      <c r="K420" s="229"/>
      <c r="L420" s="229"/>
      <c r="M420" s="758"/>
      <c r="N420" s="229"/>
      <c r="O420" s="758"/>
      <c r="P420" s="229"/>
      <c r="Q420" s="229"/>
      <c r="R420" s="229"/>
      <c r="S420" s="230">
        <f>S127</f>
        <v>24.5</v>
      </c>
      <c r="T420" s="230">
        <f>T127</f>
        <v>2.5</v>
      </c>
      <c r="U420" s="230"/>
      <c r="V420" s="752"/>
      <c r="W420" s="230"/>
      <c r="X420" s="752"/>
      <c r="Y420" s="752"/>
      <c r="Z420" s="230"/>
      <c r="AA420" s="230"/>
      <c r="AB420" s="804">
        <f t="shared" ref="AB420:AW420" si="510">AB127</f>
        <v>239200.98750000002</v>
      </c>
      <c r="AC420" s="231">
        <f t="shared" si="510"/>
        <v>229299.01249999998</v>
      </c>
      <c r="AD420" s="231">
        <f t="shared" si="510"/>
        <v>468500</v>
      </c>
      <c r="AE420" s="231">
        <f t="shared" si="510"/>
        <v>468500</v>
      </c>
      <c r="AF420" s="231">
        <f t="shared" si="510"/>
        <v>229299.01249999998</v>
      </c>
      <c r="AG420" s="231">
        <f t="shared" si="510"/>
        <v>216000</v>
      </c>
      <c r="AH420" s="231">
        <f t="shared" si="510"/>
        <v>30653.536250000001</v>
      </c>
      <c r="AI420" s="231">
        <f t="shared" si="510"/>
        <v>154309.5</v>
      </c>
      <c r="AJ420" s="231">
        <f t="shared" si="510"/>
        <v>15240</v>
      </c>
      <c r="AK420" s="231">
        <f t="shared" si="510"/>
        <v>157221.5</v>
      </c>
      <c r="AL420" s="231">
        <f t="shared" si="510"/>
        <v>16891.412500000002</v>
      </c>
      <c r="AM420" s="231">
        <f t="shared" si="510"/>
        <v>5960.6875000000027</v>
      </c>
      <c r="AN420" s="231">
        <f t="shared" si="510"/>
        <v>1433.35</v>
      </c>
      <c r="AO420" s="231">
        <f t="shared" si="510"/>
        <v>36508.308749999997</v>
      </c>
      <c r="AP420" s="231">
        <f t="shared" si="510"/>
        <v>4176.4324999999999</v>
      </c>
      <c r="AQ420" s="231">
        <f t="shared" si="510"/>
        <v>18591.099999999999</v>
      </c>
      <c r="AR420" s="231">
        <f t="shared" si="510"/>
        <v>0</v>
      </c>
      <c r="AS420" s="231">
        <f t="shared" si="510"/>
        <v>0</v>
      </c>
      <c r="AT420" s="231">
        <f t="shared" si="510"/>
        <v>155549.6875</v>
      </c>
      <c r="AU420" s="231">
        <f t="shared" si="510"/>
        <v>15219.599999999999</v>
      </c>
      <c r="AV420" s="231">
        <f t="shared" si="510"/>
        <v>0</v>
      </c>
      <c r="AW420" s="231">
        <f t="shared" si="510"/>
        <v>178180.02499999999</v>
      </c>
      <c r="AX420" s="229"/>
    </row>
    <row r="421" spans="2:50" s="232" customFormat="1" ht="27.75">
      <c r="B421" s="229"/>
      <c r="C421" s="123" t="str">
        <f>C129</f>
        <v xml:space="preserve">АКУШЕРСЬКО-ГІНЕКОЛОГІЧНЕ ВІДДІЛЕННЯ </v>
      </c>
      <c r="D421" s="229"/>
      <c r="E421" s="229"/>
      <c r="F421" s="229"/>
      <c r="G421" s="229"/>
      <c r="H421" s="758"/>
      <c r="I421" s="229"/>
      <c r="J421" s="758"/>
      <c r="K421" s="229"/>
      <c r="L421" s="229"/>
      <c r="M421" s="758"/>
      <c r="N421" s="229"/>
      <c r="O421" s="758"/>
      <c r="P421" s="229"/>
      <c r="Q421" s="229"/>
      <c r="R421" s="229"/>
      <c r="S421" s="230">
        <f>S160</f>
        <v>18</v>
      </c>
      <c r="T421" s="230">
        <f>T160</f>
        <v>2</v>
      </c>
      <c r="U421" s="230"/>
      <c r="V421" s="752"/>
      <c r="W421" s="230"/>
      <c r="X421" s="752"/>
      <c r="Y421" s="752"/>
      <c r="Z421" s="230"/>
      <c r="AA421" s="230"/>
      <c r="AB421" s="804">
        <f t="shared" ref="AB421:AV421" si="511">AB160</f>
        <v>179589.8855</v>
      </c>
      <c r="AC421" s="231">
        <f t="shared" si="511"/>
        <v>97295.114499999996</v>
      </c>
      <c r="AD421" s="231">
        <f t="shared" si="511"/>
        <v>276885</v>
      </c>
      <c r="AE421" s="231">
        <f t="shared" si="511"/>
        <v>276885</v>
      </c>
      <c r="AF421" s="231">
        <f t="shared" si="511"/>
        <v>97295.114499999996</v>
      </c>
      <c r="AG421" s="231">
        <f t="shared" si="511"/>
        <v>160000</v>
      </c>
      <c r="AH421" s="231">
        <f t="shared" si="511"/>
        <v>8812.7144999999964</v>
      </c>
      <c r="AI421" s="231">
        <f t="shared" si="511"/>
        <v>97032</v>
      </c>
      <c r="AJ421" s="231">
        <f t="shared" si="511"/>
        <v>14745.25</v>
      </c>
      <c r="AK421" s="231">
        <f t="shared" si="511"/>
        <v>105388.86</v>
      </c>
      <c r="AL421" s="231">
        <f t="shared" si="511"/>
        <v>18104.849999999999</v>
      </c>
      <c r="AM421" s="231">
        <f t="shared" si="511"/>
        <v>8356.86</v>
      </c>
      <c r="AN421" s="231">
        <f t="shared" si="511"/>
        <v>3359.6000000000004</v>
      </c>
      <c r="AO421" s="231">
        <f t="shared" si="511"/>
        <v>23114.318000000003</v>
      </c>
      <c r="AP421" s="231">
        <f t="shared" si="511"/>
        <v>4579.2575000000006</v>
      </c>
      <c r="AQ421" s="231">
        <f t="shared" si="511"/>
        <v>26517.599999999999</v>
      </c>
      <c r="AR421" s="231">
        <f t="shared" si="511"/>
        <v>1885</v>
      </c>
      <c r="AS421" s="231">
        <f t="shared" si="511"/>
        <v>0</v>
      </c>
      <c r="AT421" s="231">
        <f t="shared" si="511"/>
        <v>105388.86</v>
      </c>
      <c r="AU421" s="231">
        <f t="shared" si="511"/>
        <v>18104.849999999999</v>
      </c>
      <c r="AV421" s="231">
        <f t="shared" si="511"/>
        <v>0</v>
      </c>
      <c r="AW421" s="231">
        <f>AW160</f>
        <v>123493.70999999999</v>
      </c>
      <c r="AX421" s="229"/>
    </row>
    <row r="422" spans="2:50" s="232" customFormat="1" ht="27.75">
      <c r="B422" s="229"/>
      <c r="C422" s="123" t="str">
        <f>C161</f>
        <v>ІНФЕКЦІЙНЕ ВІДДІЛЕННЯ</v>
      </c>
      <c r="D422" s="229"/>
      <c r="E422" s="229"/>
      <c r="F422" s="229"/>
      <c r="G422" s="229"/>
      <c r="H422" s="758"/>
      <c r="I422" s="229"/>
      <c r="J422" s="758"/>
      <c r="K422" s="229"/>
      <c r="L422" s="229"/>
      <c r="M422" s="758"/>
      <c r="N422" s="229"/>
      <c r="O422" s="758"/>
      <c r="P422" s="229"/>
      <c r="Q422" s="229"/>
      <c r="R422" s="229"/>
      <c r="S422" s="230">
        <f>S180</f>
        <v>11.75</v>
      </c>
      <c r="T422" s="230">
        <f>T180</f>
        <v>0</v>
      </c>
      <c r="U422" s="230"/>
      <c r="V422" s="752"/>
      <c r="W422" s="230"/>
      <c r="X422" s="752"/>
      <c r="Y422" s="752"/>
      <c r="Z422" s="230"/>
      <c r="AA422" s="230"/>
      <c r="AB422" s="804">
        <f t="shared" ref="AB422:AW422" si="512">AB180</f>
        <v>99614.501250000001</v>
      </c>
      <c r="AC422" s="231">
        <f t="shared" si="512"/>
        <v>38553.248749999999</v>
      </c>
      <c r="AD422" s="231">
        <f t="shared" si="512"/>
        <v>138167.75</v>
      </c>
      <c r="AE422" s="231">
        <f t="shared" si="512"/>
        <v>138167.75</v>
      </c>
      <c r="AF422" s="231">
        <f t="shared" si="512"/>
        <v>38553.248749999999</v>
      </c>
      <c r="AG422" s="231">
        <f t="shared" si="512"/>
        <v>94000</v>
      </c>
      <c r="AH422" s="231">
        <f t="shared" si="512"/>
        <v>19909.401249999999</v>
      </c>
      <c r="AI422" s="231">
        <f t="shared" si="512"/>
        <v>57164.75</v>
      </c>
      <c r="AJ422" s="231">
        <f t="shared" si="512"/>
        <v>0</v>
      </c>
      <c r="AK422" s="231">
        <f t="shared" si="512"/>
        <v>65739.462499999994</v>
      </c>
      <c r="AL422" s="231">
        <f t="shared" si="512"/>
        <v>0</v>
      </c>
      <c r="AM422" s="231">
        <f t="shared" si="512"/>
        <v>8574.7125000000015</v>
      </c>
      <c r="AN422" s="231">
        <f t="shared" si="512"/>
        <v>0</v>
      </c>
      <c r="AO422" s="231">
        <f t="shared" si="512"/>
        <v>12615.988750000002</v>
      </c>
      <c r="AP422" s="231">
        <f t="shared" si="512"/>
        <v>0</v>
      </c>
      <c r="AQ422" s="231">
        <f t="shared" si="512"/>
        <v>19091.3</v>
      </c>
      <c r="AR422" s="231">
        <f t="shared" si="512"/>
        <v>2167.75</v>
      </c>
      <c r="AS422" s="231">
        <f t="shared" si="512"/>
        <v>0</v>
      </c>
      <c r="AT422" s="231">
        <f t="shared" si="512"/>
        <v>65739.462499999994</v>
      </c>
      <c r="AU422" s="231">
        <f t="shared" si="512"/>
        <v>0</v>
      </c>
      <c r="AV422" s="231">
        <f t="shared" si="512"/>
        <v>0</v>
      </c>
      <c r="AW422" s="231">
        <f t="shared" si="512"/>
        <v>65739.462499999994</v>
      </c>
      <c r="AX422" s="229"/>
    </row>
    <row r="423" spans="2:50" s="232" customFormat="1" ht="27.75">
      <c r="B423" s="229"/>
      <c r="C423" s="123" t="str">
        <f>C181</f>
        <v xml:space="preserve">НЕВРОЛОГІЧНЕ ВІДДІЛЕННЯ </v>
      </c>
      <c r="D423" s="229"/>
      <c r="E423" s="229"/>
      <c r="F423" s="229"/>
      <c r="G423" s="229"/>
      <c r="H423" s="758"/>
      <c r="I423" s="229"/>
      <c r="J423" s="758"/>
      <c r="K423" s="229"/>
      <c r="L423" s="229"/>
      <c r="M423" s="758"/>
      <c r="N423" s="229"/>
      <c r="O423" s="758"/>
      <c r="P423" s="229"/>
      <c r="Q423" s="229"/>
      <c r="R423" s="229"/>
      <c r="S423" s="230">
        <f>S202</f>
        <v>14</v>
      </c>
      <c r="T423" s="230">
        <f>T202</f>
        <v>0</v>
      </c>
      <c r="U423" s="230"/>
      <c r="V423" s="752"/>
      <c r="W423" s="230"/>
      <c r="X423" s="752"/>
      <c r="Y423" s="752"/>
      <c r="Z423" s="230"/>
      <c r="AA423" s="230"/>
      <c r="AB423" s="804">
        <f t="shared" ref="AB423:AW423" si="513">AB202</f>
        <v>117685.69</v>
      </c>
      <c r="AC423" s="231">
        <f t="shared" si="513"/>
        <v>58699.31</v>
      </c>
      <c r="AD423" s="231">
        <f t="shared" si="513"/>
        <v>176385</v>
      </c>
      <c r="AE423" s="231">
        <f t="shared" si="513"/>
        <v>176385</v>
      </c>
      <c r="AF423" s="231">
        <f t="shared" si="513"/>
        <v>58699.31</v>
      </c>
      <c r="AG423" s="231">
        <f t="shared" si="513"/>
        <v>112000</v>
      </c>
      <c r="AH423" s="231">
        <f t="shared" si="513"/>
        <v>25092.409999999996</v>
      </c>
      <c r="AI423" s="231">
        <f t="shared" si="513"/>
        <v>71184</v>
      </c>
      <c r="AJ423" s="231">
        <f t="shared" si="513"/>
        <v>0</v>
      </c>
      <c r="AK423" s="231">
        <f t="shared" si="513"/>
        <v>72433.3</v>
      </c>
      <c r="AL423" s="231">
        <f t="shared" si="513"/>
        <v>0</v>
      </c>
      <c r="AM423" s="231">
        <f t="shared" si="513"/>
        <v>1249.3000000000002</v>
      </c>
      <c r="AN423" s="231">
        <f t="shared" si="513"/>
        <v>0</v>
      </c>
      <c r="AO423" s="231">
        <f t="shared" si="513"/>
        <v>14474.29</v>
      </c>
      <c r="AP423" s="231">
        <f t="shared" si="513"/>
        <v>0</v>
      </c>
      <c r="AQ423" s="231">
        <f t="shared" si="513"/>
        <v>28893.1</v>
      </c>
      <c r="AR423" s="231">
        <f t="shared" si="513"/>
        <v>1885</v>
      </c>
      <c r="AS423" s="231">
        <f t="shared" si="513"/>
        <v>0</v>
      </c>
      <c r="AT423" s="231">
        <f t="shared" si="513"/>
        <v>72433.3</v>
      </c>
      <c r="AU423" s="231">
        <f t="shared" si="513"/>
        <v>0</v>
      </c>
      <c r="AV423" s="231">
        <f t="shared" si="513"/>
        <v>0</v>
      </c>
      <c r="AW423" s="231">
        <f t="shared" si="513"/>
        <v>72433.3</v>
      </c>
      <c r="AX423" s="229"/>
    </row>
    <row r="424" spans="2:50" s="232" customFormat="1" ht="27.75">
      <c r="B424" s="229"/>
      <c r="C424" s="123" t="str">
        <f>C203</f>
        <v xml:space="preserve">ТЕРАПЕВТИЧНЕ ВІДДІЛЕННЯ </v>
      </c>
      <c r="D424" s="229"/>
      <c r="E424" s="229"/>
      <c r="F424" s="229"/>
      <c r="G424" s="229"/>
      <c r="H424" s="758"/>
      <c r="I424" s="229"/>
      <c r="J424" s="758"/>
      <c r="K424" s="229"/>
      <c r="L424" s="229"/>
      <c r="M424" s="758"/>
      <c r="N424" s="229"/>
      <c r="O424" s="758"/>
      <c r="P424" s="229"/>
      <c r="Q424" s="229"/>
      <c r="R424" s="229"/>
      <c r="S424" s="230">
        <f>S224</f>
        <v>14</v>
      </c>
      <c r="T424" s="230">
        <f>T224</f>
        <v>0</v>
      </c>
      <c r="U424" s="230"/>
      <c r="V424" s="752"/>
      <c r="W424" s="230"/>
      <c r="X424" s="752"/>
      <c r="Y424" s="752"/>
      <c r="Z424" s="230"/>
      <c r="AA424" s="230"/>
      <c r="AB424" s="804">
        <f t="shared" ref="AB424:AW424" si="514">AB224</f>
        <v>117061.69</v>
      </c>
      <c r="AC424" s="231">
        <f t="shared" si="514"/>
        <v>59323.31</v>
      </c>
      <c r="AD424" s="231">
        <f t="shared" si="514"/>
        <v>176385</v>
      </c>
      <c r="AE424" s="231">
        <f t="shared" si="514"/>
        <v>176385</v>
      </c>
      <c r="AF424" s="231">
        <f t="shared" si="514"/>
        <v>59323.31</v>
      </c>
      <c r="AG424" s="231">
        <f t="shared" si="514"/>
        <v>112000</v>
      </c>
      <c r="AH424" s="231">
        <f t="shared" si="514"/>
        <v>23511.8</v>
      </c>
      <c r="AI424" s="231">
        <f t="shared" si="514"/>
        <v>71565</v>
      </c>
      <c r="AJ424" s="231">
        <f t="shared" si="514"/>
        <v>0</v>
      </c>
      <c r="AK424" s="231">
        <f t="shared" si="514"/>
        <v>72843</v>
      </c>
      <c r="AL424" s="231">
        <f t="shared" si="514"/>
        <v>0</v>
      </c>
      <c r="AM424" s="231">
        <f t="shared" si="514"/>
        <v>1278</v>
      </c>
      <c r="AN424" s="231">
        <f t="shared" si="514"/>
        <v>0</v>
      </c>
      <c r="AO424" s="231">
        <f t="shared" si="514"/>
        <v>15645.2</v>
      </c>
      <c r="AP424" s="231">
        <f t="shared" si="514"/>
        <v>0</v>
      </c>
      <c r="AQ424" s="231">
        <f t="shared" si="514"/>
        <v>26688.489999999998</v>
      </c>
      <c r="AR424" s="231">
        <f t="shared" si="514"/>
        <v>1885</v>
      </c>
      <c r="AS424" s="231">
        <f t="shared" si="514"/>
        <v>0</v>
      </c>
      <c r="AT424" s="231">
        <f t="shared" si="514"/>
        <v>72843</v>
      </c>
      <c r="AU424" s="231">
        <f t="shared" si="514"/>
        <v>0</v>
      </c>
      <c r="AV424" s="231">
        <f t="shared" si="514"/>
        <v>0</v>
      </c>
      <c r="AW424" s="231">
        <f t="shared" si="514"/>
        <v>72843</v>
      </c>
      <c r="AX424" s="229"/>
    </row>
    <row r="425" spans="2:50" s="232" customFormat="1" ht="27.75">
      <c r="B425" s="229"/>
      <c r="C425" s="123" t="str">
        <f>C225</f>
        <v xml:space="preserve">ПЕДІАТРИЧНЕ ВІДДІЛЕННЯ  </v>
      </c>
      <c r="D425" s="229"/>
      <c r="E425" s="229"/>
      <c r="F425" s="229"/>
      <c r="G425" s="229"/>
      <c r="H425" s="758"/>
      <c r="I425" s="229"/>
      <c r="J425" s="758"/>
      <c r="K425" s="229"/>
      <c r="L425" s="229"/>
      <c r="M425" s="758"/>
      <c r="N425" s="229"/>
      <c r="O425" s="758"/>
      <c r="P425" s="229"/>
      <c r="Q425" s="229"/>
      <c r="R425" s="229"/>
      <c r="S425" s="230">
        <f>S242</f>
        <v>8</v>
      </c>
      <c r="T425" s="230">
        <f>T242</f>
        <v>0.5</v>
      </c>
      <c r="U425" s="230"/>
      <c r="V425" s="752"/>
      <c r="W425" s="230"/>
      <c r="X425" s="752"/>
      <c r="Y425" s="752"/>
      <c r="Z425" s="230"/>
      <c r="AA425" s="230"/>
      <c r="AB425" s="804">
        <f t="shared" ref="AB425:AW425" si="515">AB242</f>
        <v>69105.8</v>
      </c>
      <c r="AC425" s="231">
        <f t="shared" si="515"/>
        <v>38648.199999999997</v>
      </c>
      <c r="AD425" s="231">
        <f t="shared" si="515"/>
        <v>107754</v>
      </c>
      <c r="AE425" s="231">
        <f t="shared" si="515"/>
        <v>107754</v>
      </c>
      <c r="AF425" s="231">
        <f t="shared" si="515"/>
        <v>38648.199999999997</v>
      </c>
      <c r="AG425" s="231">
        <f t="shared" si="515"/>
        <v>68000</v>
      </c>
      <c r="AH425" s="231">
        <f t="shared" si="515"/>
        <v>13439.759999999998</v>
      </c>
      <c r="AI425" s="231">
        <f t="shared" si="515"/>
        <v>40702</v>
      </c>
      <c r="AJ425" s="231">
        <f t="shared" si="515"/>
        <v>3626.5</v>
      </c>
      <c r="AK425" s="231">
        <f t="shared" si="515"/>
        <v>41254.699999999997</v>
      </c>
      <c r="AL425" s="231">
        <f t="shared" si="515"/>
        <v>3626.5</v>
      </c>
      <c r="AM425" s="231">
        <f t="shared" si="515"/>
        <v>552.69999999999982</v>
      </c>
      <c r="AN425" s="231">
        <f t="shared" si="515"/>
        <v>0</v>
      </c>
      <c r="AO425" s="231">
        <f t="shared" si="515"/>
        <v>8953.74</v>
      </c>
      <c r="AP425" s="231">
        <f t="shared" si="515"/>
        <v>725.30000000000007</v>
      </c>
      <c r="AQ425" s="231">
        <f t="shared" si="515"/>
        <v>13791.56</v>
      </c>
      <c r="AR425" s="231">
        <f t="shared" si="515"/>
        <v>754</v>
      </c>
      <c r="AS425" s="231">
        <f t="shared" si="515"/>
        <v>0</v>
      </c>
      <c r="AT425" s="231">
        <f t="shared" si="515"/>
        <v>41254.699999999997</v>
      </c>
      <c r="AU425" s="231">
        <f t="shared" si="515"/>
        <v>3626.5</v>
      </c>
      <c r="AV425" s="231">
        <f t="shared" si="515"/>
        <v>0</v>
      </c>
      <c r="AW425" s="231">
        <f t="shared" si="515"/>
        <v>44881.2</v>
      </c>
      <c r="AX425" s="229"/>
    </row>
    <row r="426" spans="2:50" s="232" customFormat="1" ht="52.5">
      <c r="B426" s="229"/>
      <c r="C426" s="123" t="str">
        <f>C243</f>
        <v>ХІРУРГІЧНЕ ВІДДІЛЕННЯ З ОПЕРАЦІЙНИМ БЛОКОМ</v>
      </c>
      <c r="D426" s="229"/>
      <c r="E426" s="229"/>
      <c r="F426" s="229"/>
      <c r="G426" s="229"/>
      <c r="H426" s="758"/>
      <c r="I426" s="229"/>
      <c r="J426" s="758"/>
      <c r="K426" s="229"/>
      <c r="L426" s="229"/>
      <c r="M426" s="758"/>
      <c r="N426" s="229"/>
      <c r="O426" s="758"/>
      <c r="P426" s="229"/>
      <c r="Q426" s="229"/>
      <c r="R426" s="229"/>
      <c r="S426" s="230">
        <f>S288</f>
        <v>27.5</v>
      </c>
      <c r="T426" s="230">
        <f>T288</f>
        <v>2.25</v>
      </c>
      <c r="U426" s="230"/>
      <c r="V426" s="752"/>
      <c r="W426" s="230"/>
      <c r="X426" s="752"/>
      <c r="Y426" s="752"/>
      <c r="Z426" s="230"/>
      <c r="AA426" s="230"/>
      <c r="AB426" s="804">
        <f t="shared" ref="AB426:AW426" si="516">AB288</f>
        <v>267047.15625</v>
      </c>
      <c r="AC426" s="231">
        <f t="shared" si="516"/>
        <v>140338.04375000001</v>
      </c>
      <c r="AD426" s="231">
        <f t="shared" si="516"/>
        <v>407385.2</v>
      </c>
      <c r="AE426" s="231">
        <f t="shared" si="516"/>
        <v>407385.2</v>
      </c>
      <c r="AF426" s="231">
        <f t="shared" si="516"/>
        <v>140338.04375000001</v>
      </c>
      <c r="AG426" s="231">
        <f t="shared" si="516"/>
        <v>238000</v>
      </c>
      <c r="AH426" s="231">
        <f t="shared" si="516"/>
        <v>23419.033750000002</v>
      </c>
      <c r="AI426" s="231">
        <f t="shared" si="516"/>
        <v>145547.5</v>
      </c>
      <c r="AJ426" s="231">
        <f t="shared" si="516"/>
        <v>16558.5</v>
      </c>
      <c r="AK426" s="231">
        <f t="shared" si="516"/>
        <v>161152.82500000001</v>
      </c>
      <c r="AL426" s="231">
        <f t="shared" si="516"/>
        <v>20698.125</v>
      </c>
      <c r="AM426" s="231">
        <f t="shared" si="516"/>
        <v>15605.325000000001</v>
      </c>
      <c r="AN426" s="231">
        <f t="shared" si="516"/>
        <v>4139.625</v>
      </c>
      <c r="AO426" s="231">
        <f t="shared" si="516"/>
        <v>28363.735000000001</v>
      </c>
      <c r="AP426" s="231">
        <f t="shared" si="516"/>
        <v>4366.28125</v>
      </c>
      <c r="AQ426" s="231">
        <f t="shared" si="516"/>
        <v>48580.99</v>
      </c>
      <c r="AR426" s="231">
        <f t="shared" si="516"/>
        <v>3885.2</v>
      </c>
      <c r="AS426" s="231">
        <f t="shared" si="516"/>
        <v>0</v>
      </c>
      <c r="AT426" s="231">
        <f t="shared" si="516"/>
        <v>161152.82500000001</v>
      </c>
      <c r="AU426" s="231">
        <f t="shared" si="516"/>
        <v>20698.125</v>
      </c>
      <c r="AV426" s="231">
        <f t="shared" si="516"/>
        <v>0</v>
      </c>
      <c r="AW426" s="231">
        <f t="shared" si="516"/>
        <v>181850.95</v>
      </c>
      <c r="AX426" s="229"/>
    </row>
    <row r="427" spans="2:50" s="232" customFormat="1" ht="52.5">
      <c r="B427" s="229"/>
      <c r="C427" s="123" t="str">
        <f>C289</f>
        <v xml:space="preserve">ВІДДІЛЕННЯ АНЕСТЕЗІОЛОГІЇ ТА ІНТЕНСИВНОЇ ТЕРАПІЇ </v>
      </c>
      <c r="D427" s="229"/>
      <c r="E427" s="229"/>
      <c r="F427" s="229"/>
      <c r="G427" s="229"/>
      <c r="H427" s="758"/>
      <c r="I427" s="229"/>
      <c r="J427" s="758"/>
      <c r="K427" s="229"/>
      <c r="L427" s="229"/>
      <c r="M427" s="758"/>
      <c r="N427" s="229"/>
      <c r="O427" s="758"/>
      <c r="P427" s="229"/>
      <c r="Q427" s="229"/>
      <c r="R427" s="229"/>
      <c r="S427" s="230">
        <f>S321</f>
        <v>20</v>
      </c>
      <c r="T427" s="230">
        <f>T321</f>
        <v>2</v>
      </c>
      <c r="U427" s="230"/>
      <c r="V427" s="752"/>
      <c r="W427" s="230"/>
      <c r="X427" s="752"/>
      <c r="Y427" s="752"/>
      <c r="Z427" s="230"/>
      <c r="AA427" s="230"/>
      <c r="AB427" s="804">
        <f t="shared" ref="AB427:AW427" si="517">AB321</f>
        <v>200647.2905</v>
      </c>
      <c r="AC427" s="231">
        <f t="shared" si="517"/>
        <v>116520.45950000001</v>
      </c>
      <c r="AD427" s="231">
        <f t="shared" si="517"/>
        <v>317167.75</v>
      </c>
      <c r="AE427" s="231">
        <f t="shared" si="517"/>
        <v>317167.75</v>
      </c>
      <c r="AF427" s="231">
        <f t="shared" si="517"/>
        <v>116520.45950000001</v>
      </c>
      <c r="AG427" s="231">
        <f t="shared" si="517"/>
        <v>176000</v>
      </c>
      <c r="AH427" s="231">
        <f t="shared" si="517"/>
        <v>27462.520499999999</v>
      </c>
      <c r="AI427" s="231">
        <f t="shared" si="517"/>
        <v>113646</v>
      </c>
      <c r="AJ427" s="231">
        <f t="shared" si="517"/>
        <v>12348.5</v>
      </c>
      <c r="AK427" s="231">
        <f t="shared" si="517"/>
        <v>134299.785</v>
      </c>
      <c r="AL427" s="231">
        <f t="shared" si="517"/>
        <v>14200.775</v>
      </c>
      <c r="AM427" s="231">
        <f t="shared" si="517"/>
        <v>20653.784999999996</v>
      </c>
      <c r="AN427" s="231">
        <f t="shared" si="517"/>
        <v>1852.2750000000001</v>
      </c>
      <c r="AO427" s="231">
        <f t="shared" si="517"/>
        <v>27397.227999999996</v>
      </c>
      <c r="AP427" s="231">
        <f t="shared" si="517"/>
        <v>4418.1850000000004</v>
      </c>
      <c r="AQ427" s="231">
        <f t="shared" si="517"/>
        <v>19125.114999999998</v>
      </c>
      <c r="AR427" s="231">
        <f t="shared" si="517"/>
        <v>2167.75</v>
      </c>
      <c r="AS427" s="231">
        <f t="shared" si="517"/>
        <v>0</v>
      </c>
      <c r="AT427" s="231">
        <f t="shared" si="517"/>
        <v>134299.785</v>
      </c>
      <c r="AU427" s="231">
        <f t="shared" si="517"/>
        <v>14200.775</v>
      </c>
      <c r="AV427" s="231">
        <f t="shared" si="517"/>
        <v>0</v>
      </c>
      <c r="AW427" s="231">
        <f t="shared" si="517"/>
        <v>149051.41</v>
      </c>
      <c r="AX427" s="229"/>
    </row>
    <row r="428" spans="2:50" s="232" customFormat="1" ht="27.75">
      <c r="B428" s="229"/>
      <c r="C428" s="123" t="str">
        <f>C323</f>
        <v>ПРИЙМАЛЬНЕ ВІДДІЛЕННЯ</v>
      </c>
      <c r="D428" s="229"/>
      <c r="E428" s="229"/>
      <c r="F428" s="229"/>
      <c r="G428" s="229"/>
      <c r="H428" s="758"/>
      <c r="I428" s="229"/>
      <c r="J428" s="758"/>
      <c r="K428" s="229"/>
      <c r="L428" s="229"/>
      <c r="M428" s="758"/>
      <c r="N428" s="229"/>
      <c r="O428" s="758"/>
      <c r="P428" s="229"/>
      <c r="Q428" s="229"/>
      <c r="R428" s="229"/>
      <c r="S428" s="230">
        <f>S344</f>
        <v>12</v>
      </c>
      <c r="T428" s="230">
        <f t="shared" ref="T428:AV428" si="518">T344</f>
        <v>0.25</v>
      </c>
      <c r="U428" s="230"/>
      <c r="V428" s="752"/>
      <c r="W428" s="230"/>
      <c r="X428" s="752"/>
      <c r="Y428" s="752"/>
      <c r="Z428" s="230"/>
      <c r="AA428" s="230"/>
      <c r="AB428" s="804">
        <f t="shared" si="518"/>
        <v>99885</v>
      </c>
      <c r="AC428" s="231">
        <f t="shared" si="518"/>
        <v>48000</v>
      </c>
      <c r="AD428" s="231">
        <f t="shared" si="518"/>
        <v>147885</v>
      </c>
      <c r="AE428" s="231">
        <f t="shared" si="518"/>
        <v>147885</v>
      </c>
      <c r="AF428" s="231">
        <f t="shared" si="518"/>
        <v>48000</v>
      </c>
      <c r="AG428" s="231">
        <f t="shared" si="518"/>
        <v>98000</v>
      </c>
      <c r="AH428" s="231">
        <f t="shared" si="518"/>
        <v>31303.14</v>
      </c>
      <c r="AI428" s="231">
        <f t="shared" si="518"/>
        <v>56039</v>
      </c>
      <c r="AJ428" s="231">
        <f t="shared" si="518"/>
        <v>1453.75</v>
      </c>
      <c r="AK428" s="231">
        <f t="shared" si="518"/>
        <v>56591.7</v>
      </c>
      <c r="AL428" s="231">
        <f t="shared" si="518"/>
        <v>1453.75</v>
      </c>
      <c r="AM428" s="231">
        <f t="shared" si="518"/>
        <v>552.69999999999982</v>
      </c>
      <c r="AN428" s="231">
        <f t="shared" si="518"/>
        <v>0</v>
      </c>
      <c r="AO428" s="231">
        <f t="shared" si="518"/>
        <v>8651.41</v>
      </c>
      <c r="AP428" s="231">
        <f t="shared" si="518"/>
        <v>0</v>
      </c>
      <c r="AQ428" s="231">
        <f t="shared" si="518"/>
        <v>31303.14</v>
      </c>
      <c r="AR428" s="231">
        <f t="shared" si="518"/>
        <v>1885</v>
      </c>
      <c r="AS428" s="231">
        <f t="shared" si="518"/>
        <v>0</v>
      </c>
      <c r="AT428" s="231">
        <f t="shared" si="518"/>
        <v>56591.7</v>
      </c>
      <c r="AU428" s="231">
        <f t="shared" si="518"/>
        <v>1453.75</v>
      </c>
      <c r="AV428" s="231">
        <f t="shared" si="518"/>
        <v>0</v>
      </c>
      <c r="AW428" s="231">
        <f>AW344</f>
        <v>58045.45</v>
      </c>
      <c r="AX428" s="229"/>
    </row>
    <row r="429" spans="2:50" s="232" customFormat="1" ht="27.75">
      <c r="B429" s="229"/>
      <c r="C429" s="123" t="str">
        <f>C345</f>
        <v>ЦЕНТРАЛІЗОВАНА СТЕРИЛІЗАЦІЙНА</v>
      </c>
      <c r="D429" s="229"/>
      <c r="E429" s="229"/>
      <c r="F429" s="229"/>
      <c r="G429" s="229"/>
      <c r="H429" s="758"/>
      <c r="I429" s="229"/>
      <c r="J429" s="758"/>
      <c r="K429" s="229"/>
      <c r="L429" s="229"/>
      <c r="M429" s="758"/>
      <c r="N429" s="229"/>
      <c r="O429" s="758"/>
      <c r="P429" s="229"/>
      <c r="Q429" s="229"/>
      <c r="R429" s="229"/>
      <c r="S429" s="230">
        <f>S348</f>
        <v>1</v>
      </c>
      <c r="T429" s="230">
        <f t="shared" ref="T429:AW429" si="519">T348</f>
        <v>0</v>
      </c>
      <c r="U429" s="230"/>
      <c r="V429" s="752"/>
      <c r="W429" s="230"/>
      <c r="X429" s="752"/>
      <c r="Y429" s="752"/>
      <c r="Z429" s="230"/>
      <c r="AA429" s="230"/>
      <c r="AB429" s="804">
        <f t="shared" si="519"/>
        <v>8000</v>
      </c>
      <c r="AC429" s="231">
        <f t="shared" si="519"/>
        <v>5500</v>
      </c>
      <c r="AD429" s="231">
        <f t="shared" si="519"/>
        <v>13500</v>
      </c>
      <c r="AE429" s="231">
        <f t="shared" si="519"/>
        <v>13500</v>
      </c>
      <c r="AF429" s="231">
        <f t="shared" si="519"/>
        <v>5500</v>
      </c>
      <c r="AG429" s="231">
        <f t="shared" si="519"/>
        <v>8000</v>
      </c>
      <c r="AH429" s="231">
        <f t="shared" si="519"/>
        <v>814.89999999999964</v>
      </c>
      <c r="AI429" s="231">
        <f t="shared" si="519"/>
        <v>5527</v>
      </c>
      <c r="AJ429" s="231">
        <f t="shared" si="519"/>
        <v>0</v>
      </c>
      <c r="AK429" s="231">
        <f t="shared" si="519"/>
        <v>5527</v>
      </c>
      <c r="AL429" s="231">
        <f t="shared" si="519"/>
        <v>0</v>
      </c>
      <c r="AM429" s="231">
        <f t="shared" si="519"/>
        <v>0</v>
      </c>
      <c r="AN429" s="231">
        <f t="shared" si="519"/>
        <v>0</v>
      </c>
      <c r="AO429" s="231">
        <f t="shared" si="519"/>
        <v>1658.1</v>
      </c>
      <c r="AP429" s="231">
        <f t="shared" si="519"/>
        <v>0</v>
      </c>
      <c r="AQ429" s="231">
        <f t="shared" si="519"/>
        <v>814.89999999999964</v>
      </c>
      <c r="AR429" s="231">
        <f t="shared" si="519"/>
        <v>0</v>
      </c>
      <c r="AS429" s="231">
        <f t="shared" si="519"/>
        <v>0</v>
      </c>
      <c r="AT429" s="231">
        <f t="shared" si="519"/>
        <v>5527</v>
      </c>
      <c r="AU429" s="231">
        <f t="shared" si="519"/>
        <v>0</v>
      </c>
      <c r="AV429" s="231">
        <f t="shared" si="519"/>
        <v>0</v>
      </c>
      <c r="AW429" s="231">
        <f t="shared" si="519"/>
        <v>5527</v>
      </c>
      <c r="AX429" s="229"/>
    </row>
    <row r="430" spans="2:50" s="232" customFormat="1" ht="27.75">
      <c r="B430" s="229"/>
      <c r="C430" s="123" t="str">
        <f>C351</f>
        <v>КЛІНІКО-ДІАГНОСТИЧНА ЛАБОРАТОРІЯ</v>
      </c>
      <c r="D430" s="229"/>
      <c r="E430" s="229"/>
      <c r="F430" s="229"/>
      <c r="G430" s="229"/>
      <c r="H430" s="758"/>
      <c r="I430" s="229"/>
      <c r="J430" s="758"/>
      <c r="K430" s="229"/>
      <c r="L430" s="229"/>
      <c r="M430" s="758"/>
      <c r="N430" s="229"/>
      <c r="O430" s="758"/>
      <c r="P430" s="229"/>
      <c r="Q430" s="229"/>
      <c r="R430" s="229"/>
      <c r="S430" s="230">
        <f>S367</f>
        <v>9</v>
      </c>
      <c r="T430" s="230">
        <f t="shared" ref="T430:AW430" si="520">T367</f>
        <v>0</v>
      </c>
      <c r="U430" s="230"/>
      <c r="V430" s="752"/>
      <c r="W430" s="230"/>
      <c r="X430" s="752"/>
      <c r="Y430" s="752"/>
      <c r="Z430" s="230"/>
      <c r="AA430" s="230"/>
      <c r="AB430" s="804">
        <f t="shared" si="520"/>
        <v>81921.493499999997</v>
      </c>
      <c r="AC430" s="231">
        <f t="shared" si="520"/>
        <v>47455.506500000003</v>
      </c>
      <c r="AD430" s="231">
        <f t="shared" si="520"/>
        <v>129377</v>
      </c>
      <c r="AE430" s="231">
        <f t="shared" si="520"/>
        <v>129377</v>
      </c>
      <c r="AF430" s="231">
        <f t="shared" si="520"/>
        <v>47455.506500000003</v>
      </c>
      <c r="AG430" s="231">
        <f t="shared" si="520"/>
        <v>72000</v>
      </c>
      <c r="AH430" s="231">
        <f t="shared" si="520"/>
        <v>-4172.953499999996</v>
      </c>
      <c r="AI430" s="231">
        <f t="shared" si="520"/>
        <v>52303</v>
      </c>
      <c r="AJ430" s="231">
        <f t="shared" si="520"/>
        <v>0</v>
      </c>
      <c r="AK430" s="231">
        <f t="shared" si="520"/>
        <v>60417.045000000006</v>
      </c>
      <c r="AL430" s="231">
        <f t="shared" si="520"/>
        <v>0</v>
      </c>
      <c r="AM430" s="231">
        <f t="shared" si="520"/>
        <v>8114.045000000001</v>
      </c>
      <c r="AN430" s="231">
        <f t="shared" si="520"/>
        <v>0</v>
      </c>
      <c r="AO430" s="231">
        <f t="shared" si="520"/>
        <v>15755.9085</v>
      </c>
      <c r="AP430" s="231">
        <f t="shared" si="520"/>
        <v>0</v>
      </c>
      <c r="AQ430" s="231">
        <f t="shared" si="520"/>
        <v>5371.54</v>
      </c>
      <c r="AR430" s="231">
        <f t="shared" si="520"/>
        <v>377</v>
      </c>
      <c r="AS430" s="231">
        <f t="shared" si="520"/>
        <v>0</v>
      </c>
      <c r="AT430" s="231">
        <f t="shared" si="520"/>
        <v>60417.045000000006</v>
      </c>
      <c r="AU430" s="231">
        <f t="shared" si="520"/>
        <v>0</v>
      </c>
      <c r="AV430" s="231">
        <f t="shared" si="520"/>
        <v>0</v>
      </c>
      <c r="AW430" s="231">
        <f t="shared" si="520"/>
        <v>60417.045000000006</v>
      </c>
      <c r="AX430" s="229"/>
    </row>
    <row r="431" spans="2:50" s="232" customFormat="1" ht="27.75">
      <c r="B431" s="229"/>
      <c r="C431" s="123" t="str">
        <f>C368</f>
        <v>РЕНТГЕН КАБІНЕТ</v>
      </c>
      <c r="D431" s="229"/>
      <c r="E431" s="229"/>
      <c r="F431" s="229"/>
      <c r="G431" s="229"/>
      <c r="H431" s="758"/>
      <c r="I431" s="229"/>
      <c r="J431" s="758"/>
      <c r="K431" s="229"/>
      <c r="L431" s="229"/>
      <c r="M431" s="758"/>
      <c r="N431" s="229"/>
      <c r="O431" s="758"/>
      <c r="P431" s="229"/>
      <c r="Q431" s="229"/>
      <c r="R431" s="229"/>
      <c r="S431" s="230">
        <f>S378</f>
        <v>4</v>
      </c>
      <c r="T431" s="230">
        <f t="shared" ref="T431:AW431" si="521">T378</f>
        <v>0.5</v>
      </c>
      <c r="U431" s="230"/>
      <c r="V431" s="752"/>
      <c r="W431" s="230"/>
      <c r="X431" s="752"/>
      <c r="Y431" s="752"/>
      <c r="Z431" s="230"/>
      <c r="AA431" s="230"/>
      <c r="AB431" s="804">
        <f t="shared" si="521"/>
        <v>37461.965000000004</v>
      </c>
      <c r="AC431" s="231">
        <f t="shared" si="521"/>
        <v>26538.035</v>
      </c>
      <c r="AD431" s="231">
        <f t="shared" si="521"/>
        <v>64000</v>
      </c>
      <c r="AE431" s="231">
        <f t="shared" si="521"/>
        <v>64000</v>
      </c>
      <c r="AF431" s="231">
        <f t="shared" si="521"/>
        <v>26538.035</v>
      </c>
      <c r="AG431" s="231">
        <f t="shared" si="521"/>
        <v>36000</v>
      </c>
      <c r="AH431" s="231">
        <f t="shared" si="521"/>
        <v>-388.29999999999927</v>
      </c>
      <c r="AI431" s="231">
        <f t="shared" si="521"/>
        <v>21214</v>
      </c>
      <c r="AJ431" s="231">
        <f t="shared" si="521"/>
        <v>3386.5</v>
      </c>
      <c r="AK431" s="231">
        <f t="shared" si="521"/>
        <v>24396.1</v>
      </c>
      <c r="AL431" s="231">
        <f t="shared" si="521"/>
        <v>3894.4749999999999</v>
      </c>
      <c r="AM431" s="231">
        <f t="shared" si="521"/>
        <v>3182.1000000000004</v>
      </c>
      <c r="AN431" s="231">
        <f t="shared" si="521"/>
        <v>507.97499999999991</v>
      </c>
      <c r="AO431" s="231">
        <f t="shared" si="521"/>
        <v>7318.83</v>
      </c>
      <c r="AP431" s="231">
        <f t="shared" si="521"/>
        <v>778.89499999999998</v>
      </c>
      <c r="AQ431" s="231">
        <f t="shared" si="521"/>
        <v>1073.665</v>
      </c>
      <c r="AR431" s="231">
        <f t="shared" si="521"/>
        <v>0</v>
      </c>
      <c r="AS431" s="231">
        <f t="shared" si="521"/>
        <v>0</v>
      </c>
      <c r="AT431" s="231">
        <f t="shared" si="521"/>
        <v>24396.1</v>
      </c>
      <c r="AU431" s="231">
        <f t="shared" si="521"/>
        <v>3894.4749999999999</v>
      </c>
      <c r="AV431" s="231">
        <f t="shared" si="521"/>
        <v>0</v>
      </c>
      <c r="AW431" s="231">
        <f t="shared" si="521"/>
        <v>28290.574999999997</v>
      </c>
      <c r="AX431" s="229"/>
    </row>
    <row r="432" spans="2:50" s="232" customFormat="1" ht="27.75">
      <c r="B432" s="229"/>
      <c r="C432" s="123" t="str">
        <f>C379</f>
        <v>ФІЗІОТЕРАПЕВТИЧНЕ ВІДДІЛЕННЯ</v>
      </c>
      <c r="D432" s="229"/>
      <c r="E432" s="229"/>
      <c r="F432" s="229"/>
      <c r="G432" s="229"/>
      <c r="H432" s="758"/>
      <c r="I432" s="229"/>
      <c r="J432" s="758"/>
      <c r="K432" s="229"/>
      <c r="L432" s="229"/>
      <c r="M432" s="758"/>
      <c r="N432" s="229"/>
      <c r="O432" s="758"/>
      <c r="P432" s="229"/>
      <c r="Q432" s="229"/>
      <c r="R432" s="229"/>
      <c r="S432" s="230">
        <f>S396</f>
        <v>10</v>
      </c>
      <c r="T432" s="230">
        <f t="shared" ref="T432:AW432" si="522">T396</f>
        <v>0</v>
      </c>
      <c r="U432" s="230"/>
      <c r="V432" s="752"/>
      <c r="W432" s="230"/>
      <c r="X432" s="752"/>
      <c r="Y432" s="752"/>
      <c r="Z432" s="230"/>
      <c r="AA432" s="230"/>
      <c r="AB432" s="804">
        <f t="shared" si="522"/>
        <v>85093.1535</v>
      </c>
      <c r="AC432" s="231">
        <f t="shared" si="522"/>
        <v>51283.8465</v>
      </c>
      <c r="AD432" s="231">
        <f t="shared" si="522"/>
        <v>136377</v>
      </c>
      <c r="AE432" s="231">
        <f t="shared" si="522"/>
        <v>136377</v>
      </c>
      <c r="AF432" s="231">
        <f t="shared" si="522"/>
        <v>51283.8465</v>
      </c>
      <c r="AG432" s="231">
        <f t="shared" si="522"/>
        <v>80000</v>
      </c>
      <c r="AH432" s="231">
        <f t="shared" si="522"/>
        <v>3997.1865000000007</v>
      </c>
      <c r="AI432" s="231">
        <f t="shared" si="522"/>
        <v>54665</v>
      </c>
      <c r="AJ432" s="231">
        <f t="shared" si="522"/>
        <v>0</v>
      </c>
      <c r="AK432" s="231">
        <f t="shared" si="522"/>
        <v>60689.244999999995</v>
      </c>
      <c r="AL432" s="231">
        <f t="shared" si="522"/>
        <v>0</v>
      </c>
      <c r="AM432" s="231">
        <f t="shared" si="522"/>
        <v>6024.2450000000008</v>
      </c>
      <c r="AN432" s="231">
        <f t="shared" si="522"/>
        <v>0</v>
      </c>
      <c r="AO432" s="231">
        <f t="shared" si="522"/>
        <v>15313.568500000001</v>
      </c>
      <c r="AP432" s="231">
        <f t="shared" si="522"/>
        <v>0</v>
      </c>
      <c r="AQ432" s="231">
        <f t="shared" si="522"/>
        <v>8713.34</v>
      </c>
      <c r="AR432" s="231">
        <f t="shared" si="522"/>
        <v>377</v>
      </c>
      <c r="AS432" s="231">
        <f t="shared" si="522"/>
        <v>0</v>
      </c>
      <c r="AT432" s="231">
        <f t="shared" si="522"/>
        <v>60689.244999999995</v>
      </c>
      <c r="AU432" s="231">
        <f t="shared" si="522"/>
        <v>0</v>
      </c>
      <c r="AV432" s="231">
        <f t="shared" si="522"/>
        <v>0</v>
      </c>
      <c r="AW432" s="231">
        <f t="shared" si="522"/>
        <v>60689.244999999995</v>
      </c>
      <c r="AX432" s="229"/>
    </row>
    <row r="433" spans="1:51" s="232" customFormat="1" ht="27.75">
      <c r="B433" s="229"/>
      <c r="C433" s="123" t="str">
        <f>C397</f>
        <v>ВІДДІЛ З ІНФЕКЦІЙНОГО КОНТРОЛЮ</v>
      </c>
      <c r="D433" s="229"/>
      <c r="E433" s="229"/>
      <c r="F433" s="229"/>
      <c r="G433" s="229"/>
      <c r="H433" s="758"/>
      <c r="I433" s="229"/>
      <c r="J433" s="758"/>
      <c r="K433" s="229"/>
      <c r="L433" s="229"/>
      <c r="M433" s="758"/>
      <c r="N433" s="229"/>
      <c r="O433" s="758"/>
      <c r="P433" s="229"/>
      <c r="Q433" s="229"/>
      <c r="R433" s="229"/>
      <c r="S433" s="230">
        <f>S407</f>
        <v>2</v>
      </c>
      <c r="T433" s="230">
        <f t="shared" ref="T433:AW433" si="523">T407</f>
        <v>0.5</v>
      </c>
      <c r="U433" s="230"/>
      <c r="V433" s="752"/>
      <c r="W433" s="230"/>
      <c r="X433" s="752"/>
      <c r="Y433" s="752"/>
      <c r="Z433" s="230"/>
      <c r="AA433" s="230"/>
      <c r="AB433" s="804">
        <f t="shared" si="523"/>
        <v>20714.45</v>
      </c>
      <c r="AC433" s="231">
        <f t="shared" si="523"/>
        <v>16285.55</v>
      </c>
      <c r="AD433" s="231">
        <f t="shared" si="523"/>
        <v>37000</v>
      </c>
      <c r="AE433" s="231">
        <f t="shared" si="523"/>
        <v>37000</v>
      </c>
      <c r="AF433" s="231">
        <f t="shared" si="523"/>
        <v>16285.55</v>
      </c>
      <c r="AG433" s="231">
        <f t="shared" si="523"/>
        <v>20000</v>
      </c>
      <c r="AH433" s="231">
        <f t="shared" si="523"/>
        <v>1330.0500000000002</v>
      </c>
      <c r="AI433" s="231">
        <f t="shared" si="523"/>
        <v>10735</v>
      </c>
      <c r="AJ433" s="231">
        <f t="shared" si="523"/>
        <v>3626.5</v>
      </c>
      <c r="AK433" s="231">
        <f t="shared" si="523"/>
        <v>10735</v>
      </c>
      <c r="AL433" s="231">
        <f t="shared" si="523"/>
        <v>3626.5</v>
      </c>
      <c r="AM433" s="231">
        <f t="shared" si="523"/>
        <v>0</v>
      </c>
      <c r="AN433" s="231">
        <f t="shared" si="523"/>
        <v>0</v>
      </c>
      <c r="AO433" s="231">
        <f t="shared" si="523"/>
        <v>3220.5</v>
      </c>
      <c r="AP433" s="231">
        <f t="shared" si="523"/>
        <v>1087.95</v>
      </c>
      <c r="AQ433" s="231">
        <f t="shared" si="523"/>
        <v>2044.5</v>
      </c>
      <c r="AR433" s="231">
        <f t="shared" si="523"/>
        <v>0</v>
      </c>
      <c r="AS433" s="231">
        <f t="shared" si="523"/>
        <v>0</v>
      </c>
      <c r="AT433" s="231">
        <f t="shared" si="523"/>
        <v>10735</v>
      </c>
      <c r="AU433" s="231">
        <f t="shared" si="523"/>
        <v>3626.5</v>
      </c>
      <c r="AV433" s="231">
        <f t="shared" si="523"/>
        <v>0</v>
      </c>
      <c r="AW433" s="231">
        <f t="shared" si="523"/>
        <v>14361.5</v>
      </c>
      <c r="AX433" s="229"/>
    </row>
    <row r="434" spans="1:51" s="232" customFormat="1" ht="27.75">
      <c r="B434" s="229"/>
      <c r="C434" s="123" t="str">
        <f>C408</f>
        <v>ЗАГАЛЬНО - ЛІКАРНЯНИЙ ПЕРСОНАЛ</v>
      </c>
      <c r="D434" s="229"/>
      <c r="E434" s="229"/>
      <c r="F434" s="229"/>
      <c r="G434" s="229"/>
      <c r="H434" s="758"/>
      <c r="I434" s="229"/>
      <c r="J434" s="758"/>
      <c r="K434" s="229"/>
      <c r="L434" s="229"/>
      <c r="M434" s="758"/>
      <c r="N434" s="229"/>
      <c r="O434" s="758"/>
      <c r="P434" s="229"/>
      <c r="Q434" s="229"/>
      <c r="R434" s="229"/>
      <c r="S434" s="230">
        <f>S412</f>
        <v>1</v>
      </c>
      <c r="T434" s="230">
        <f t="shared" ref="T434:AW434" si="524">T412</f>
        <v>1</v>
      </c>
      <c r="U434" s="230"/>
      <c r="V434" s="752"/>
      <c r="W434" s="230"/>
      <c r="X434" s="752"/>
      <c r="Y434" s="752"/>
      <c r="Z434" s="230"/>
      <c r="AA434" s="230"/>
      <c r="AB434" s="804">
        <f t="shared" si="524"/>
        <v>16000</v>
      </c>
      <c r="AC434" s="231">
        <f t="shared" si="524"/>
        <v>11000</v>
      </c>
      <c r="AD434" s="231">
        <f t="shared" si="524"/>
        <v>27000</v>
      </c>
      <c r="AE434" s="231">
        <f t="shared" si="524"/>
        <v>27000</v>
      </c>
      <c r="AF434" s="231">
        <f t="shared" si="524"/>
        <v>11000</v>
      </c>
      <c r="AG434" s="231">
        <f t="shared" si="524"/>
        <v>16000</v>
      </c>
      <c r="AH434" s="231">
        <f t="shared" si="524"/>
        <v>3255.2999999999993</v>
      </c>
      <c r="AI434" s="231">
        <f t="shared" si="524"/>
        <v>10160</v>
      </c>
      <c r="AJ434" s="231">
        <f t="shared" si="524"/>
        <v>10160</v>
      </c>
      <c r="AK434" s="231">
        <f t="shared" si="524"/>
        <v>10160</v>
      </c>
      <c r="AL434" s="231">
        <f t="shared" si="524"/>
        <v>10160</v>
      </c>
      <c r="AM434" s="231">
        <f t="shared" si="524"/>
        <v>0</v>
      </c>
      <c r="AN434" s="231">
        <f t="shared" si="524"/>
        <v>0</v>
      </c>
      <c r="AO434" s="231">
        <f t="shared" si="524"/>
        <v>2584.6999999999998</v>
      </c>
      <c r="AP434" s="231">
        <f t="shared" si="524"/>
        <v>1658.1</v>
      </c>
      <c r="AQ434" s="231">
        <f t="shared" si="524"/>
        <v>3255.2999999999993</v>
      </c>
      <c r="AR434" s="231">
        <f t="shared" si="524"/>
        <v>0</v>
      </c>
      <c r="AS434" s="231">
        <f t="shared" si="524"/>
        <v>0</v>
      </c>
      <c r="AT434" s="231">
        <f t="shared" si="524"/>
        <v>10160</v>
      </c>
      <c r="AU434" s="231">
        <f t="shared" si="524"/>
        <v>10160</v>
      </c>
      <c r="AV434" s="231">
        <f t="shared" si="524"/>
        <v>0</v>
      </c>
      <c r="AW434" s="231">
        <f t="shared" si="524"/>
        <v>10160</v>
      </c>
      <c r="AX434" s="229"/>
    </row>
    <row r="435" spans="1:51" s="232" customFormat="1" ht="27.75">
      <c r="B435" s="229"/>
      <c r="C435" s="123"/>
      <c r="D435" s="229"/>
      <c r="E435" s="229"/>
      <c r="F435" s="229"/>
      <c r="G435" s="229"/>
      <c r="H435" s="758"/>
      <c r="I435" s="229"/>
      <c r="J435" s="758"/>
      <c r="K435" s="229"/>
      <c r="L435" s="229"/>
      <c r="M435" s="758"/>
      <c r="N435" s="229"/>
      <c r="O435" s="758"/>
      <c r="P435" s="229"/>
      <c r="Q435" s="229"/>
      <c r="R435" s="229"/>
      <c r="S435" s="230">
        <f>SUM(S415:S434)</f>
        <v>224.75</v>
      </c>
      <c r="T435" s="230">
        <f t="shared" ref="T435:AW435" si="525">SUM(T415:T434)</f>
        <v>16.5</v>
      </c>
      <c r="U435" s="230"/>
      <c r="V435" s="752"/>
      <c r="W435" s="230"/>
      <c r="X435" s="752"/>
      <c r="Y435" s="752"/>
      <c r="Z435" s="230"/>
      <c r="AA435" s="230"/>
      <c r="AB435" s="804">
        <f t="shared" si="525"/>
        <v>2113844.6066000005</v>
      </c>
      <c r="AC435" s="231">
        <f t="shared" si="525"/>
        <v>992784.94034999993</v>
      </c>
      <c r="AD435" s="231">
        <f t="shared" si="525"/>
        <v>3106629.5469499999</v>
      </c>
      <c r="AE435" s="231">
        <f t="shared" si="525"/>
        <v>3106278.920225</v>
      </c>
      <c r="AF435" s="231">
        <f t="shared" si="525"/>
        <v>992434.31362500007</v>
      </c>
      <c r="AG435" s="231">
        <f t="shared" si="525"/>
        <v>1930000</v>
      </c>
      <c r="AH435" s="231">
        <f t="shared" si="525"/>
        <v>384042.09925000003</v>
      </c>
      <c r="AI435" s="231">
        <f t="shared" si="525"/>
        <v>1214111.875</v>
      </c>
      <c r="AJ435" s="231">
        <f t="shared" si="525"/>
        <v>112999.5</v>
      </c>
      <c r="AK435" s="231">
        <f t="shared" si="525"/>
        <v>1308806.4750000001</v>
      </c>
      <c r="AL435" s="231">
        <f t="shared" si="525"/>
        <v>116005.1875</v>
      </c>
      <c r="AM435" s="231">
        <f t="shared" si="525"/>
        <v>97743.287500000006</v>
      </c>
      <c r="AN435" s="231">
        <f t="shared" si="525"/>
        <v>2787.625</v>
      </c>
      <c r="AO435" s="231">
        <f t="shared" si="525"/>
        <v>238468.01659999997</v>
      </c>
      <c r="AP435" s="231">
        <f t="shared" si="525"/>
        <v>22314.401249999999</v>
      </c>
      <c r="AQ435" s="231">
        <f t="shared" si="525"/>
        <v>427917.24</v>
      </c>
      <c r="AR435" s="231">
        <f t="shared" si="525"/>
        <v>18546.7</v>
      </c>
      <c r="AS435" s="231">
        <f t="shared" si="525"/>
        <v>0</v>
      </c>
      <c r="AT435" s="231">
        <f t="shared" si="525"/>
        <v>1304674.6625000001</v>
      </c>
      <c r="AU435" s="231">
        <f t="shared" si="525"/>
        <v>114333.375</v>
      </c>
      <c r="AV435" s="231">
        <f t="shared" si="525"/>
        <v>0</v>
      </c>
      <c r="AW435" s="231">
        <f t="shared" si="525"/>
        <v>1407007.6249999995</v>
      </c>
      <c r="AX435" s="229"/>
    </row>
    <row r="436" spans="1:51" s="232" customFormat="1" ht="27.75">
      <c r="B436" s="229"/>
      <c r="C436" s="123"/>
      <c r="D436" s="229"/>
      <c r="E436" s="229"/>
      <c r="F436" s="229"/>
      <c r="G436" s="229"/>
      <c r="H436" s="758"/>
      <c r="I436" s="229"/>
      <c r="J436" s="758"/>
      <c r="K436" s="229"/>
      <c r="L436" s="229"/>
      <c r="M436" s="758"/>
      <c r="N436" s="229"/>
      <c r="O436" s="758"/>
      <c r="P436" s="229"/>
      <c r="Q436" s="229"/>
      <c r="R436" s="229"/>
      <c r="S436" s="230"/>
      <c r="T436" s="230"/>
      <c r="U436" s="230"/>
      <c r="V436" s="752"/>
      <c r="W436" s="230"/>
      <c r="X436" s="752"/>
      <c r="Y436" s="752"/>
      <c r="Z436" s="230"/>
      <c r="AA436" s="230"/>
      <c r="AB436" s="804"/>
      <c r="AC436" s="231"/>
      <c r="AD436" s="231"/>
      <c r="AE436" s="231"/>
      <c r="AF436" s="231"/>
      <c r="AG436" s="231"/>
      <c r="AH436" s="231"/>
      <c r="AI436" s="231"/>
      <c r="AJ436" s="231"/>
      <c r="AK436" s="231"/>
      <c r="AL436" s="231"/>
      <c r="AM436" s="231"/>
      <c r="AN436" s="231"/>
      <c r="AO436" s="231"/>
      <c r="AP436" s="231"/>
      <c r="AQ436" s="231"/>
      <c r="AR436" s="231"/>
      <c r="AS436" s="231"/>
      <c r="AT436" s="231"/>
      <c r="AU436" s="231"/>
      <c r="AV436" s="231"/>
      <c r="AW436" s="231"/>
      <c r="AX436" s="229"/>
    </row>
    <row r="437" spans="1:51" s="232" customFormat="1" ht="27.75">
      <c r="B437" s="229"/>
      <c r="C437" s="123" t="str">
        <f>C8</f>
        <v>АПАРАТ УПРАВЛІННЯ</v>
      </c>
      <c r="D437" s="229"/>
      <c r="E437" s="229"/>
      <c r="F437" s="229"/>
      <c r="G437" s="229"/>
      <c r="H437" s="758"/>
      <c r="I437" s="229"/>
      <c r="J437" s="758"/>
      <c r="K437" s="229"/>
      <c r="L437" s="229"/>
      <c r="M437" s="758"/>
      <c r="N437" s="229"/>
      <c r="O437" s="758"/>
      <c r="P437" s="229"/>
      <c r="Q437" s="229"/>
      <c r="R437" s="229"/>
      <c r="S437" s="230">
        <f>S19+S27+S32+S42+S87</f>
        <v>48</v>
      </c>
      <c r="T437" s="230">
        <f>T19+T27+T32+T42+T87</f>
        <v>5</v>
      </c>
      <c r="U437" s="230"/>
      <c r="V437" s="752"/>
      <c r="W437" s="230"/>
      <c r="X437" s="752"/>
      <c r="Y437" s="752"/>
      <c r="Z437" s="230"/>
      <c r="AA437" s="230"/>
      <c r="AB437" s="805">
        <f t="shared" ref="AB437:AW437" si="526">AB19+AB27+AB32+AB42+AB87</f>
        <v>474815.54359999998</v>
      </c>
      <c r="AC437" s="234">
        <f t="shared" si="526"/>
        <v>8045.3033499999983</v>
      </c>
      <c r="AD437" s="234">
        <f t="shared" si="526"/>
        <v>482860.84694999998</v>
      </c>
      <c r="AE437" s="234">
        <f t="shared" si="526"/>
        <v>482510.220225</v>
      </c>
      <c r="AF437" s="234">
        <f t="shared" si="526"/>
        <v>7694.6766250000001</v>
      </c>
      <c r="AG437" s="234">
        <f t="shared" si="526"/>
        <v>424000</v>
      </c>
      <c r="AH437" s="234">
        <f t="shared" si="526"/>
        <v>175601.6</v>
      </c>
      <c r="AI437" s="234">
        <f t="shared" si="526"/>
        <v>252318.125</v>
      </c>
      <c r="AJ437" s="234">
        <f t="shared" si="526"/>
        <v>31854</v>
      </c>
      <c r="AK437" s="234">
        <f t="shared" si="526"/>
        <v>269956.95250000001</v>
      </c>
      <c r="AL437" s="234">
        <f t="shared" si="526"/>
        <v>23348.799999999999</v>
      </c>
      <c r="AM437" s="234">
        <f t="shared" si="526"/>
        <v>17638.827499999999</v>
      </c>
      <c r="AN437" s="234">
        <f t="shared" si="526"/>
        <v>-8505.2000000000007</v>
      </c>
      <c r="AO437" s="234">
        <f t="shared" si="526"/>
        <v>16892.191099999996</v>
      </c>
      <c r="AP437" s="234">
        <f t="shared" si="526"/>
        <v>524</v>
      </c>
      <c r="AQ437" s="234">
        <f t="shared" si="526"/>
        <v>174061.6</v>
      </c>
      <c r="AR437" s="234">
        <f t="shared" si="526"/>
        <v>1278</v>
      </c>
      <c r="AS437" s="234">
        <f t="shared" si="526"/>
        <v>0</v>
      </c>
      <c r="AT437" s="234">
        <f t="shared" si="526"/>
        <v>267496.95250000001</v>
      </c>
      <c r="AU437" s="234">
        <f t="shared" si="526"/>
        <v>23348.799999999999</v>
      </c>
      <c r="AV437" s="234">
        <f t="shared" si="526"/>
        <v>0</v>
      </c>
      <c r="AW437" s="234">
        <f t="shared" si="526"/>
        <v>281043.75249999994</v>
      </c>
      <c r="AX437" s="229"/>
    </row>
    <row r="438" spans="1:51" s="232" customFormat="1" ht="27.75">
      <c r="B438" s="229"/>
      <c r="C438" s="123" t="str">
        <f>C88</f>
        <v>ПОЛІКЛІНІКА</v>
      </c>
      <c r="D438" s="229"/>
      <c r="E438" s="229"/>
      <c r="F438" s="229"/>
      <c r="G438" s="229"/>
      <c r="H438" s="758"/>
      <c r="I438" s="229"/>
      <c r="J438" s="758"/>
      <c r="K438" s="229"/>
      <c r="L438" s="229"/>
      <c r="M438" s="758"/>
      <c r="N438" s="229"/>
      <c r="O438" s="758"/>
      <c r="P438" s="229"/>
      <c r="Q438" s="229"/>
      <c r="R438" s="229"/>
      <c r="S438" s="230">
        <f>S127</f>
        <v>24.5</v>
      </c>
      <c r="T438" s="230">
        <f>T127</f>
        <v>2.5</v>
      </c>
      <c r="U438" s="230"/>
      <c r="V438" s="752"/>
      <c r="W438" s="230"/>
      <c r="X438" s="752"/>
      <c r="Y438" s="752"/>
      <c r="Z438" s="230"/>
      <c r="AA438" s="230"/>
      <c r="AB438" s="805">
        <f t="shared" ref="AB438:AW438" si="527">AB127</f>
        <v>239200.98750000002</v>
      </c>
      <c r="AC438" s="234">
        <f t="shared" si="527"/>
        <v>229299.01249999998</v>
      </c>
      <c r="AD438" s="234">
        <f t="shared" si="527"/>
        <v>468500</v>
      </c>
      <c r="AE438" s="234">
        <f t="shared" si="527"/>
        <v>468500</v>
      </c>
      <c r="AF438" s="234">
        <f t="shared" si="527"/>
        <v>229299.01249999998</v>
      </c>
      <c r="AG438" s="234">
        <f t="shared" si="527"/>
        <v>216000</v>
      </c>
      <c r="AH438" s="234">
        <f t="shared" si="527"/>
        <v>30653.536250000001</v>
      </c>
      <c r="AI438" s="234">
        <f t="shared" si="527"/>
        <v>154309.5</v>
      </c>
      <c r="AJ438" s="234">
        <f t="shared" si="527"/>
        <v>15240</v>
      </c>
      <c r="AK438" s="234">
        <f t="shared" si="527"/>
        <v>157221.5</v>
      </c>
      <c r="AL438" s="234">
        <f t="shared" si="527"/>
        <v>16891.412500000002</v>
      </c>
      <c r="AM438" s="234">
        <f t="shared" si="527"/>
        <v>5960.6875000000027</v>
      </c>
      <c r="AN438" s="234">
        <f t="shared" si="527"/>
        <v>1433.35</v>
      </c>
      <c r="AO438" s="234">
        <f t="shared" si="527"/>
        <v>36508.308749999997</v>
      </c>
      <c r="AP438" s="234">
        <f t="shared" si="527"/>
        <v>4176.4324999999999</v>
      </c>
      <c r="AQ438" s="234">
        <f t="shared" si="527"/>
        <v>18591.099999999999</v>
      </c>
      <c r="AR438" s="234">
        <f t="shared" si="527"/>
        <v>0</v>
      </c>
      <c r="AS438" s="234">
        <f t="shared" si="527"/>
        <v>0</v>
      </c>
      <c r="AT438" s="234">
        <f t="shared" si="527"/>
        <v>155549.6875</v>
      </c>
      <c r="AU438" s="234">
        <f t="shared" si="527"/>
        <v>15219.599999999999</v>
      </c>
      <c r="AV438" s="234">
        <f t="shared" si="527"/>
        <v>0</v>
      </c>
      <c r="AW438" s="234">
        <f t="shared" si="527"/>
        <v>178180.02499999999</v>
      </c>
      <c r="AX438" s="229"/>
    </row>
    <row r="439" spans="1:51" s="232" customFormat="1" ht="27.75">
      <c r="B439" s="229"/>
      <c r="C439" s="123" t="str">
        <f>C128</f>
        <v>СТАЦІОНАР</v>
      </c>
      <c r="D439" s="229"/>
      <c r="E439" s="229"/>
      <c r="F439" s="229"/>
      <c r="G439" s="229"/>
      <c r="H439" s="758"/>
      <c r="I439" s="229"/>
      <c r="J439" s="758"/>
      <c r="K439" s="229"/>
      <c r="L439" s="229"/>
      <c r="M439" s="758"/>
      <c r="N439" s="229"/>
      <c r="O439" s="758"/>
      <c r="P439" s="229"/>
      <c r="Q439" s="229"/>
      <c r="R439" s="229"/>
      <c r="S439" s="230">
        <f>S160+S180+S202+S224+S242+S288+S321</f>
        <v>113.25</v>
      </c>
      <c r="T439" s="230">
        <f>T160+T180+T202+T224+T242+T288+T321</f>
        <v>6.75</v>
      </c>
      <c r="U439" s="230"/>
      <c r="V439" s="752"/>
      <c r="W439" s="230"/>
      <c r="X439" s="752"/>
      <c r="Y439" s="752"/>
      <c r="Z439" s="230"/>
      <c r="AA439" s="230"/>
      <c r="AB439" s="805">
        <f t="shared" ref="AB439:AW439" si="528">AB160+AB180+AB202+AB224+AB242+AB288+AB321</f>
        <v>1050752.0134999999</v>
      </c>
      <c r="AC439" s="234">
        <f t="shared" si="528"/>
        <v>549377.68650000007</v>
      </c>
      <c r="AD439" s="234">
        <f t="shared" si="528"/>
        <v>1600129.7</v>
      </c>
      <c r="AE439" s="234">
        <f t="shared" si="528"/>
        <v>1600129.7</v>
      </c>
      <c r="AF439" s="234">
        <f t="shared" si="528"/>
        <v>549377.68650000007</v>
      </c>
      <c r="AG439" s="234">
        <f t="shared" si="528"/>
        <v>960000</v>
      </c>
      <c r="AH439" s="234">
        <f t="shared" si="528"/>
        <v>141647.63999999998</v>
      </c>
      <c r="AI439" s="234">
        <f t="shared" si="528"/>
        <v>596841.25</v>
      </c>
      <c r="AJ439" s="234">
        <f t="shared" si="528"/>
        <v>47278.75</v>
      </c>
      <c r="AK439" s="234">
        <f t="shared" si="528"/>
        <v>653111.9325</v>
      </c>
      <c r="AL439" s="234">
        <f t="shared" si="528"/>
        <v>56630.25</v>
      </c>
      <c r="AM439" s="234">
        <f t="shared" si="528"/>
        <v>56270.682500000003</v>
      </c>
      <c r="AN439" s="234">
        <f t="shared" si="528"/>
        <v>9351.5</v>
      </c>
      <c r="AO439" s="234">
        <f t="shared" si="528"/>
        <v>130564.49975000002</v>
      </c>
      <c r="AP439" s="234">
        <f t="shared" si="528"/>
        <v>14089.02375</v>
      </c>
      <c r="AQ439" s="234">
        <f t="shared" si="528"/>
        <v>182688.15499999997</v>
      </c>
      <c r="AR439" s="234">
        <f t="shared" si="528"/>
        <v>14629.7</v>
      </c>
      <c r="AS439" s="234">
        <f t="shared" si="528"/>
        <v>0</v>
      </c>
      <c r="AT439" s="234">
        <f t="shared" si="528"/>
        <v>653111.9325</v>
      </c>
      <c r="AU439" s="234">
        <f t="shared" si="528"/>
        <v>56630.25</v>
      </c>
      <c r="AV439" s="234">
        <f t="shared" si="528"/>
        <v>0</v>
      </c>
      <c r="AW439" s="234">
        <f t="shared" si="528"/>
        <v>710293.03250000009</v>
      </c>
      <c r="AX439" s="229"/>
    </row>
    <row r="440" spans="1:51" s="232" customFormat="1" ht="27.75">
      <c r="B440" s="229"/>
      <c r="C440" s="123" t="str">
        <f>C322</f>
        <v>СТРУКТУРНІ ПІДРОЗДІЛИ СТАЦІОНАРУ</v>
      </c>
      <c r="D440" s="229"/>
      <c r="E440" s="229"/>
      <c r="F440" s="229"/>
      <c r="G440" s="229"/>
      <c r="H440" s="758"/>
      <c r="I440" s="229"/>
      <c r="J440" s="758"/>
      <c r="K440" s="229"/>
      <c r="L440" s="229"/>
      <c r="M440" s="758"/>
      <c r="N440" s="229"/>
      <c r="O440" s="758"/>
      <c r="P440" s="229"/>
      <c r="Q440" s="229"/>
      <c r="R440" s="229"/>
      <c r="S440" s="233">
        <f>S349</f>
        <v>13</v>
      </c>
      <c r="T440" s="233">
        <f t="shared" ref="T440:AW440" si="529">T349</f>
        <v>0.25</v>
      </c>
      <c r="U440" s="233"/>
      <c r="V440" s="747"/>
      <c r="W440" s="233"/>
      <c r="X440" s="747"/>
      <c r="Y440" s="747"/>
      <c r="Z440" s="233"/>
      <c r="AA440" s="233"/>
      <c r="AB440" s="805">
        <f t="shared" si="529"/>
        <v>107885</v>
      </c>
      <c r="AC440" s="234">
        <f t="shared" si="529"/>
        <v>53500</v>
      </c>
      <c r="AD440" s="234">
        <f t="shared" si="529"/>
        <v>161385</v>
      </c>
      <c r="AE440" s="234">
        <f t="shared" si="529"/>
        <v>161385</v>
      </c>
      <c r="AF440" s="234">
        <f t="shared" si="529"/>
        <v>53500</v>
      </c>
      <c r="AG440" s="234">
        <f t="shared" si="529"/>
        <v>106000</v>
      </c>
      <c r="AH440" s="234">
        <f t="shared" si="529"/>
        <v>32118.04</v>
      </c>
      <c r="AI440" s="234">
        <f t="shared" si="529"/>
        <v>61566</v>
      </c>
      <c r="AJ440" s="234">
        <f t="shared" si="529"/>
        <v>1453.75</v>
      </c>
      <c r="AK440" s="234">
        <f t="shared" si="529"/>
        <v>62118.7</v>
      </c>
      <c r="AL440" s="234">
        <f t="shared" si="529"/>
        <v>1453.75</v>
      </c>
      <c r="AM440" s="234">
        <f t="shared" si="529"/>
        <v>552.69999999999982</v>
      </c>
      <c r="AN440" s="234">
        <f t="shared" si="529"/>
        <v>0</v>
      </c>
      <c r="AO440" s="234">
        <f t="shared" si="529"/>
        <v>10309.51</v>
      </c>
      <c r="AP440" s="234">
        <f t="shared" si="529"/>
        <v>0</v>
      </c>
      <c r="AQ440" s="234">
        <f t="shared" si="529"/>
        <v>32118.04</v>
      </c>
      <c r="AR440" s="234">
        <f t="shared" si="529"/>
        <v>1885</v>
      </c>
      <c r="AS440" s="234">
        <f t="shared" si="529"/>
        <v>0</v>
      </c>
      <c r="AT440" s="234">
        <f t="shared" si="529"/>
        <v>62118.7</v>
      </c>
      <c r="AU440" s="234">
        <f t="shared" si="529"/>
        <v>1453.75</v>
      </c>
      <c r="AV440" s="234">
        <f t="shared" si="529"/>
        <v>0</v>
      </c>
      <c r="AW440" s="234">
        <f t="shared" si="529"/>
        <v>63572.45</v>
      </c>
      <c r="AX440" s="229"/>
    </row>
    <row r="441" spans="1:51" s="232" customFormat="1" ht="52.5">
      <c r="B441" s="229"/>
      <c r="C441" s="123" t="str">
        <f>C350</f>
        <v>ДОПОМІЖНІ ЛІКУВАЛЬНО - ДІАГНОСТИЧНІ ПІДРОЗДІЛИ</v>
      </c>
      <c r="D441" s="229"/>
      <c r="E441" s="229"/>
      <c r="F441" s="229"/>
      <c r="G441" s="229"/>
      <c r="H441" s="758"/>
      <c r="I441" s="229"/>
      <c r="J441" s="758"/>
      <c r="K441" s="229"/>
      <c r="L441" s="229"/>
      <c r="M441" s="758"/>
      <c r="N441" s="229"/>
      <c r="O441" s="758"/>
      <c r="P441" s="229"/>
      <c r="Q441" s="229"/>
      <c r="R441" s="229"/>
      <c r="S441" s="230">
        <f>S367+S378+S396</f>
        <v>23</v>
      </c>
      <c r="T441" s="230">
        <f t="shared" ref="T441:AW441" si="530">T367+T378+T396</f>
        <v>0.5</v>
      </c>
      <c r="U441" s="230"/>
      <c r="V441" s="752"/>
      <c r="W441" s="230"/>
      <c r="X441" s="752"/>
      <c r="Y441" s="752"/>
      <c r="Z441" s="230"/>
      <c r="AA441" s="230"/>
      <c r="AB441" s="805">
        <f t="shared" si="530"/>
        <v>204476.61200000002</v>
      </c>
      <c r="AC441" s="234">
        <f t="shared" si="530"/>
        <v>125277.38800000001</v>
      </c>
      <c r="AD441" s="234">
        <f t="shared" si="530"/>
        <v>329754</v>
      </c>
      <c r="AE441" s="234">
        <f t="shared" si="530"/>
        <v>329754</v>
      </c>
      <c r="AF441" s="234">
        <f t="shared" si="530"/>
        <v>125277.38800000001</v>
      </c>
      <c r="AG441" s="234">
        <f t="shared" si="530"/>
        <v>188000</v>
      </c>
      <c r="AH441" s="234">
        <f t="shared" si="530"/>
        <v>-564.06699999999455</v>
      </c>
      <c r="AI441" s="234">
        <f t="shared" si="530"/>
        <v>128182</v>
      </c>
      <c r="AJ441" s="234">
        <f t="shared" si="530"/>
        <v>3386.5</v>
      </c>
      <c r="AK441" s="234">
        <f t="shared" si="530"/>
        <v>145502.39000000001</v>
      </c>
      <c r="AL441" s="234">
        <f t="shared" si="530"/>
        <v>3894.4749999999999</v>
      </c>
      <c r="AM441" s="234">
        <f t="shared" si="530"/>
        <v>17320.39</v>
      </c>
      <c r="AN441" s="234">
        <f t="shared" si="530"/>
        <v>507.97499999999991</v>
      </c>
      <c r="AO441" s="234">
        <f t="shared" si="530"/>
        <v>38388.307000000001</v>
      </c>
      <c r="AP441" s="234">
        <f t="shared" si="530"/>
        <v>778.89499999999998</v>
      </c>
      <c r="AQ441" s="234">
        <f t="shared" si="530"/>
        <v>15158.545</v>
      </c>
      <c r="AR441" s="234">
        <f t="shared" si="530"/>
        <v>754</v>
      </c>
      <c r="AS441" s="234">
        <f t="shared" si="530"/>
        <v>0</v>
      </c>
      <c r="AT441" s="234">
        <f t="shared" si="530"/>
        <v>145502.39000000001</v>
      </c>
      <c r="AU441" s="234">
        <f t="shared" si="530"/>
        <v>3894.4749999999999</v>
      </c>
      <c r="AV441" s="234">
        <f t="shared" si="530"/>
        <v>0</v>
      </c>
      <c r="AW441" s="234">
        <f t="shared" si="530"/>
        <v>149396.86499999999</v>
      </c>
      <c r="AX441" s="229"/>
    </row>
    <row r="442" spans="1:51" s="232" customFormat="1" ht="27.75">
      <c r="B442" s="229"/>
      <c r="C442" s="123" t="str">
        <f>C397</f>
        <v>ВІДДІЛ З ІНФЕКЦІЙНОГО КОНТРОЛЮ</v>
      </c>
      <c r="D442" s="229"/>
      <c r="E442" s="229"/>
      <c r="F442" s="229"/>
      <c r="G442" s="229"/>
      <c r="H442" s="758"/>
      <c r="I442" s="229"/>
      <c r="J442" s="758"/>
      <c r="K442" s="229"/>
      <c r="L442" s="229"/>
      <c r="M442" s="758"/>
      <c r="N442" s="229"/>
      <c r="O442" s="758"/>
      <c r="P442" s="229"/>
      <c r="Q442" s="229"/>
      <c r="R442" s="229"/>
      <c r="S442" s="230">
        <f>S407</f>
        <v>2</v>
      </c>
      <c r="T442" s="230">
        <f t="shared" ref="T442:AW442" si="531">T407</f>
        <v>0.5</v>
      </c>
      <c r="U442" s="230"/>
      <c r="V442" s="752"/>
      <c r="W442" s="230"/>
      <c r="X442" s="752"/>
      <c r="Y442" s="752"/>
      <c r="Z442" s="230"/>
      <c r="AA442" s="230"/>
      <c r="AB442" s="805">
        <f t="shared" si="531"/>
        <v>20714.45</v>
      </c>
      <c r="AC442" s="234">
        <f t="shared" si="531"/>
        <v>16285.55</v>
      </c>
      <c r="AD442" s="234">
        <f t="shared" si="531"/>
        <v>37000</v>
      </c>
      <c r="AE442" s="234">
        <f t="shared" si="531"/>
        <v>37000</v>
      </c>
      <c r="AF442" s="234">
        <f t="shared" si="531"/>
        <v>16285.55</v>
      </c>
      <c r="AG442" s="234">
        <f t="shared" si="531"/>
        <v>20000</v>
      </c>
      <c r="AH442" s="234">
        <f t="shared" si="531"/>
        <v>1330.0500000000002</v>
      </c>
      <c r="AI442" s="234">
        <f t="shared" si="531"/>
        <v>10735</v>
      </c>
      <c r="AJ442" s="234">
        <f t="shared" si="531"/>
        <v>3626.5</v>
      </c>
      <c r="AK442" s="234">
        <f t="shared" si="531"/>
        <v>10735</v>
      </c>
      <c r="AL442" s="234">
        <f t="shared" si="531"/>
        <v>3626.5</v>
      </c>
      <c r="AM442" s="234">
        <f t="shared" si="531"/>
        <v>0</v>
      </c>
      <c r="AN442" s="234">
        <f t="shared" si="531"/>
        <v>0</v>
      </c>
      <c r="AO442" s="234">
        <f t="shared" si="531"/>
        <v>3220.5</v>
      </c>
      <c r="AP442" s="234">
        <f t="shared" si="531"/>
        <v>1087.95</v>
      </c>
      <c r="AQ442" s="234">
        <f t="shared" si="531"/>
        <v>2044.5</v>
      </c>
      <c r="AR442" s="234">
        <f t="shared" si="531"/>
        <v>0</v>
      </c>
      <c r="AS442" s="234">
        <f t="shared" si="531"/>
        <v>0</v>
      </c>
      <c r="AT442" s="234">
        <f t="shared" si="531"/>
        <v>10735</v>
      </c>
      <c r="AU442" s="234">
        <f t="shared" si="531"/>
        <v>3626.5</v>
      </c>
      <c r="AV442" s="234">
        <f t="shared" si="531"/>
        <v>0</v>
      </c>
      <c r="AW442" s="234">
        <f t="shared" si="531"/>
        <v>14361.5</v>
      </c>
      <c r="AX442" s="229"/>
    </row>
    <row r="443" spans="1:51" s="232" customFormat="1" ht="27.75">
      <c r="B443" s="229"/>
      <c r="C443" s="123" t="str">
        <f>C408</f>
        <v>ЗАГАЛЬНО - ЛІКАРНЯНИЙ ПЕРСОНАЛ</v>
      </c>
      <c r="D443" s="229"/>
      <c r="E443" s="229"/>
      <c r="F443" s="229"/>
      <c r="G443" s="229"/>
      <c r="H443" s="758"/>
      <c r="I443" s="229"/>
      <c r="J443" s="758"/>
      <c r="K443" s="229"/>
      <c r="L443" s="229"/>
      <c r="M443" s="758"/>
      <c r="N443" s="229"/>
      <c r="O443" s="758"/>
      <c r="P443" s="229"/>
      <c r="Q443" s="229"/>
      <c r="R443" s="229"/>
      <c r="S443" s="230">
        <f>S412</f>
        <v>1</v>
      </c>
      <c r="T443" s="230">
        <f t="shared" ref="T443:AW443" si="532">T412</f>
        <v>1</v>
      </c>
      <c r="U443" s="230"/>
      <c r="V443" s="752"/>
      <c r="W443" s="230"/>
      <c r="X443" s="752"/>
      <c r="Y443" s="752"/>
      <c r="Z443" s="230"/>
      <c r="AA443" s="230"/>
      <c r="AB443" s="805">
        <f t="shared" si="532"/>
        <v>16000</v>
      </c>
      <c r="AC443" s="234">
        <f t="shared" si="532"/>
        <v>11000</v>
      </c>
      <c r="AD443" s="234">
        <f t="shared" si="532"/>
        <v>27000</v>
      </c>
      <c r="AE443" s="234">
        <f t="shared" si="532"/>
        <v>27000</v>
      </c>
      <c r="AF443" s="234">
        <f t="shared" si="532"/>
        <v>11000</v>
      </c>
      <c r="AG443" s="234">
        <f t="shared" si="532"/>
        <v>16000</v>
      </c>
      <c r="AH443" s="234">
        <f t="shared" si="532"/>
        <v>3255.2999999999993</v>
      </c>
      <c r="AI443" s="234">
        <f t="shared" si="532"/>
        <v>10160</v>
      </c>
      <c r="AJ443" s="234">
        <f t="shared" si="532"/>
        <v>10160</v>
      </c>
      <c r="AK443" s="234">
        <f t="shared" si="532"/>
        <v>10160</v>
      </c>
      <c r="AL443" s="234">
        <f t="shared" si="532"/>
        <v>10160</v>
      </c>
      <c r="AM443" s="234">
        <f t="shared" si="532"/>
        <v>0</v>
      </c>
      <c r="AN443" s="234">
        <f t="shared" si="532"/>
        <v>0</v>
      </c>
      <c r="AO443" s="234">
        <f t="shared" si="532"/>
        <v>2584.6999999999998</v>
      </c>
      <c r="AP443" s="234">
        <f t="shared" si="532"/>
        <v>1658.1</v>
      </c>
      <c r="AQ443" s="234">
        <f t="shared" si="532"/>
        <v>3255.2999999999993</v>
      </c>
      <c r="AR443" s="234">
        <f t="shared" si="532"/>
        <v>0</v>
      </c>
      <c r="AS443" s="234">
        <f t="shared" si="532"/>
        <v>0</v>
      </c>
      <c r="AT443" s="234">
        <f t="shared" si="532"/>
        <v>10160</v>
      </c>
      <c r="AU443" s="234">
        <f t="shared" si="532"/>
        <v>10160</v>
      </c>
      <c r="AV443" s="234">
        <f t="shared" si="532"/>
        <v>0</v>
      </c>
      <c r="AW443" s="234">
        <f t="shared" si="532"/>
        <v>10160</v>
      </c>
      <c r="AX443" s="229"/>
    </row>
    <row r="444" spans="1:51" s="232" customFormat="1" ht="27.75">
      <c r="B444" s="229"/>
      <c r="C444" s="229"/>
      <c r="D444" s="229"/>
      <c r="E444" s="229"/>
      <c r="F444" s="229"/>
      <c r="G444" s="229"/>
      <c r="H444" s="758"/>
      <c r="I444" s="229"/>
      <c r="J444" s="758"/>
      <c r="K444" s="229"/>
      <c r="L444" s="229"/>
      <c r="M444" s="758"/>
      <c r="N444" s="229"/>
      <c r="O444" s="758"/>
      <c r="P444" s="229"/>
      <c r="Q444" s="229"/>
      <c r="R444" s="229"/>
      <c r="S444" s="230">
        <f>SUM(S437:S443)</f>
        <v>224.75</v>
      </c>
      <c r="T444" s="230">
        <f t="shared" ref="T444:AW444" si="533">SUM(T437:T443)</f>
        <v>16.5</v>
      </c>
      <c r="U444" s="230"/>
      <c r="V444" s="752"/>
      <c r="W444" s="230"/>
      <c r="X444" s="752"/>
      <c r="Y444" s="752"/>
      <c r="Z444" s="230"/>
      <c r="AA444" s="230"/>
      <c r="AB444" s="805">
        <f t="shared" si="533"/>
        <v>2113844.6066000001</v>
      </c>
      <c r="AC444" s="234">
        <f t="shared" si="533"/>
        <v>992784.94035000016</v>
      </c>
      <c r="AD444" s="234">
        <f t="shared" si="533"/>
        <v>3106629.5469499999</v>
      </c>
      <c r="AE444" s="234">
        <f t="shared" si="533"/>
        <v>3106278.920225</v>
      </c>
      <c r="AF444" s="234">
        <f t="shared" si="533"/>
        <v>992434.31362500018</v>
      </c>
      <c r="AG444" s="234">
        <f t="shared" si="533"/>
        <v>1930000</v>
      </c>
      <c r="AH444" s="234">
        <f t="shared" si="533"/>
        <v>384042.09924999997</v>
      </c>
      <c r="AI444" s="234">
        <f t="shared" si="533"/>
        <v>1214111.875</v>
      </c>
      <c r="AJ444" s="234">
        <f t="shared" si="533"/>
        <v>112999.5</v>
      </c>
      <c r="AK444" s="234">
        <f t="shared" si="533"/>
        <v>1308806.4750000001</v>
      </c>
      <c r="AL444" s="234">
        <f t="shared" si="533"/>
        <v>116005.1875</v>
      </c>
      <c r="AM444" s="234">
        <f t="shared" si="533"/>
        <v>97743.287500000006</v>
      </c>
      <c r="AN444" s="234">
        <f t="shared" si="533"/>
        <v>2787.6249999999995</v>
      </c>
      <c r="AO444" s="234">
        <f t="shared" si="533"/>
        <v>238468.01660000003</v>
      </c>
      <c r="AP444" s="234">
        <f t="shared" si="533"/>
        <v>22314.401249999999</v>
      </c>
      <c r="AQ444" s="234">
        <f t="shared" si="533"/>
        <v>427917.23999999993</v>
      </c>
      <c r="AR444" s="234">
        <f t="shared" si="533"/>
        <v>18546.7</v>
      </c>
      <c r="AS444" s="234">
        <f t="shared" si="533"/>
        <v>0</v>
      </c>
      <c r="AT444" s="234">
        <f t="shared" si="533"/>
        <v>1304674.6625000001</v>
      </c>
      <c r="AU444" s="234">
        <f t="shared" si="533"/>
        <v>114333.375</v>
      </c>
      <c r="AV444" s="234">
        <f t="shared" si="533"/>
        <v>0</v>
      </c>
      <c r="AW444" s="234">
        <f t="shared" si="533"/>
        <v>1407007.625</v>
      </c>
      <c r="AX444" s="229"/>
    </row>
    <row r="445" spans="1:51" s="765" customFormat="1" ht="38.25">
      <c r="A445" s="759">
        <f>B445-S445-T445</f>
        <v>0</v>
      </c>
      <c r="B445" s="760">
        <f>'[36]штат-розп'!K212</f>
        <v>3</v>
      </c>
      <c r="C445" s="761" t="s">
        <v>1614</v>
      </c>
      <c r="D445" s="762"/>
      <c r="E445" s="762"/>
      <c r="F445" s="762"/>
      <c r="G445" s="762"/>
      <c r="H445" s="758"/>
      <c r="I445" s="762"/>
      <c r="J445" s="758"/>
      <c r="K445" s="762"/>
      <c r="L445" s="762"/>
      <c r="M445" s="758"/>
      <c r="N445" s="762"/>
      <c r="O445" s="758"/>
      <c r="P445" s="762"/>
      <c r="Q445" s="762"/>
      <c r="R445" s="762"/>
      <c r="S445" s="763">
        <f>S12+S13+S14+S15</f>
        <v>3</v>
      </c>
      <c r="T445" s="763">
        <f>T12+T13+T14+T15</f>
        <v>0</v>
      </c>
      <c r="U445" s="763"/>
      <c r="V445" s="752"/>
      <c r="W445" s="763"/>
      <c r="X445" s="752"/>
      <c r="Y445" s="752"/>
      <c r="Z445" s="763"/>
      <c r="AA445" s="763"/>
      <c r="AB445" s="806">
        <f>AB12+AB13+AB14+AB15</f>
        <v>60343.857600000003</v>
      </c>
      <c r="AC445" s="806">
        <f>AC12+AC13+AC14+AC15</f>
        <v>2380.2738499999978</v>
      </c>
      <c r="AD445" s="763"/>
      <c r="AE445" s="763"/>
      <c r="AF445" s="763"/>
      <c r="AG445" s="763"/>
      <c r="AH445" s="763"/>
      <c r="AI445" s="763"/>
      <c r="AJ445" s="763"/>
      <c r="AK445" s="763"/>
      <c r="AL445" s="763"/>
      <c r="AM445" s="763"/>
      <c r="AN445" s="763"/>
      <c r="AO445" s="763"/>
      <c r="AP445" s="763"/>
      <c r="AQ445" s="763"/>
      <c r="AR445" s="763"/>
      <c r="AS445" s="763"/>
      <c r="AT445" s="764">
        <f>AT12+AT13+AT14+AT15</f>
        <v>46418.351999999999</v>
      </c>
      <c r="AU445" s="764">
        <f>AU12+AU13+AU14+AU15</f>
        <v>0</v>
      </c>
      <c r="AV445" s="764">
        <f>AV12+AV13+AV14+AV15</f>
        <v>0</v>
      </c>
      <c r="AW445" s="764">
        <f>AW12+AW13+AW14+AW15</f>
        <v>46418.351999999999</v>
      </c>
      <c r="AX445" s="764">
        <f>AX12+AX13+AX14+AX15</f>
        <v>0</v>
      </c>
      <c r="AY445" s="232"/>
    </row>
    <row r="446" spans="1:51" s="765" customFormat="1" ht="38.25">
      <c r="A446" s="759">
        <f>B446-S446-T446-S447-T447-S448-T448</f>
        <v>0</v>
      </c>
      <c r="B446" s="760">
        <f>'[36]штат-розп'!K213</f>
        <v>13</v>
      </c>
      <c r="C446" s="761" t="s">
        <v>1398</v>
      </c>
      <c r="D446" s="762" t="s">
        <v>1885</v>
      </c>
      <c r="E446" s="762"/>
      <c r="F446" s="762"/>
      <c r="G446" s="762"/>
      <c r="H446" s="758"/>
      <c r="I446" s="762"/>
      <c r="J446" s="758"/>
      <c r="K446" s="762"/>
      <c r="L446" s="762"/>
      <c r="M446" s="758"/>
      <c r="N446" s="762"/>
      <c r="O446" s="758"/>
      <c r="P446" s="762"/>
      <c r="Q446" s="762"/>
      <c r="R446" s="762"/>
      <c r="S446" s="763">
        <f>S131+S183++S205+S245+S291+S381+S353</f>
        <v>7</v>
      </c>
      <c r="T446" s="763">
        <f>T131+T183++T205+T245+T291+T381+T353</f>
        <v>0</v>
      </c>
      <c r="U446" s="763"/>
      <c r="V446" s="752"/>
      <c r="W446" s="763"/>
      <c r="X446" s="752"/>
      <c r="Y446" s="752"/>
      <c r="Z446" s="763"/>
      <c r="AA446" s="763"/>
      <c r="AB446" s="806">
        <f>AB131+AB183++AB205+AB245+AB291+AB381+AB353</f>
        <v>94454.633000000002</v>
      </c>
      <c r="AC446" s="806">
        <f>AC131+AC183++AC205+AC245+AC291+AC381+AC353</f>
        <v>45545.366999999998</v>
      </c>
      <c r="AD446" s="763"/>
      <c r="AE446" s="763"/>
      <c r="AF446" s="763"/>
      <c r="AG446" s="763"/>
      <c r="AH446" s="763"/>
      <c r="AI446" s="763"/>
      <c r="AJ446" s="763"/>
      <c r="AK446" s="763"/>
      <c r="AL446" s="763"/>
      <c r="AM446" s="763"/>
      <c r="AN446" s="763"/>
      <c r="AO446" s="763"/>
      <c r="AP446" s="763"/>
      <c r="AQ446" s="763"/>
      <c r="AR446" s="763"/>
      <c r="AS446" s="763"/>
      <c r="AT446" s="764">
        <f>AT131+AT183++AT205+AT245+AT291+AT381+AT353</f>
        <v>72657.41</v>
      </c>
      <c r="AU446" s="764">
        <f>AU131+AU183++AU205+AU245+AU291+AU381+AU353</f>
        <v>0</v>
      </c>
      <c r="AV446" s="764">
        <f>AV131+AV183++AV205+AV245+AV291+AV381+AV353</f>
        <v>0</v>
      </c>
      <c r="AW446" s="764">
        <f>AW131+AW183++AW205+AW245+AW291+AW381+AW353</f>
        <v>72657.41</v>
      </c>
      <c r="AX446" s="764">
        <f>AX131+AX183++AX205+AX245+AX291+AX381+AX353</f>
        <v>0</v>
      </c>
      <c r="AY446" s="232"/>
    </row>
    <row r="447" spans="1:51" s="765" customFormat="1" ht="38.25">
      <c r="A447" s="759"/>
      <c r="B447" s="762"/>
      <c r="C447" s="761" t="s">
        <v>1398</v>
      </c>
      <c r="D447" s="762" t="s">
        <v>1836</v>
      </c>
      <c r="E447" s="762"/>
      <c r="F447" s="762"/>
      <c r="G447" s="762"/>
      <c r="H447" s="758"/>
      <c r="I447" s="762"/>
      <c r="J447" s="758"/>
      <c r="K447" s="762"/>
      <c r="L447" s="762"/>
      <c r="M447" s="758"/>
      <c r="N447" s="762"/>
      <c r="O447" s="758"/>
      <c r="P447" s="762"/>
      <c r="Q447" s="762"/>
      <c r="R447" s="762"/>
      <c r="S447" s="763">
        <f>S17</f>
        <v>1</v>
      </c>
      <c r="T447" s="763">
        <f>T17</f>
        <v>0</v>
      </c>
      <c r="U447" s="763"/>
      <c r="V447" s="752"/>
      <c r="W447" s="763"/>
      <c r="X447" s="752"/>
      <c r="Y447" s="752"/>
      <c r="Z447" s="763"/>
      <c r="AA447" s="763"/>
      <c r="AB447" s="806">
        <f>AB17</f>
        <v>10584.970499999999</v>
      </c>
      <c r="AC447" s="806">
        <f>AC17</f>
        <v>2915.0295000000006</v>
      </c>
      <c r="AD447" s="763"/>
      <c r="AE447" s="763"/>
      <c r="AF447" s="763"/>
      <c r="AG447" s="763"/>
      <c r="AH447" s="763"/>
      <c r="AI447" s="763"/>
      <c r="AJ447" s="763"/>
      <c r="AK447" s="763"/>
      <c r="AL447" s="763"/>
      <c r="AM447" s="763"/>
      <c r="AN447" s="763"/>
      <c r="AO447" s="763"/>
      <c r="AP447" s="763"/>
      <c r="AQ447" s="763"/>
      <c r="AR447" s="763"/>
      <c r="AS447" s="763"/>
      <c r="AT447" s="764">
        <f>AT17</f>
        <v>8142.2849999999999</v>
      </c>
      <c r="AU447" s="764">
        <f>AU17</f>
        <v>0</v>
      </c>
      <c r="AV447" s="764">
        <f>AV17</f>
        <v>0</v>
      </c>
      <c r="AW447" s="764">
        <f>AW17</f>
        <v>8142.2849999999999</v>
      </c>
      <c r="AX447" s="764">
        <f>AX17</f>
        <v>0</v>
      </c>
      <c r="AY447" s="232"/>
    </row>
    <row r="448" spans="1:51" s="765" customFormat="1" ht="38.25">
      <c r="A448" s="759"/>
      <c r="B448" s="762"/>
      <c r="C448" s="761" t="s">
        <v>1398</v>
      </c>
      <c r="D448" s="762" t="s">
        <v>1886</v>
      </c>
      <c r="E448" s="762"/>
      <c r="F448" s="762"/>
      <c r="G448" s="762"/>
      <c r="H448" s="758"/>
      <c r="I448" s="762"/>
      <c r="J448" s="758"/>
      <c r="K448" s="762"/>
      <c r="L448" s="762"/>
      <c r="M448" s="758"/>
      <c r="N448" s="762"/>
      <c r="O448" s="758"/>
      <c r="P448" s="762"/>
      <c r="Q448" s="762"/>
      <c r="R448" s="762"/>
      <c r="S448" s="763">
        <f>S16+S21+S44+S46+S47</f>
        <v>5</v>
      </c>
      <c r="T448" s="763">
        <f>T16+T21+T44+T46+T47</f>
        <v>0</v>
      </c>
      <c r="U448" s="763"/>
      <c r="V448" s="752"/>
      <c r="W448" s="763"/>
      <c r="X448" s="752"/>
      <c r="Y448" s="752"/>
      <c r="Z448" s="763"/>
      <c r="AA448" s="763"/>
      <c r="AB448" s="806">
        <f>AB16+AB21+AB44+AB46+AB47</f>
        <v>50608.715499999998</v>
      </c>
      <c r="AC448" s="806">
        <f>AC16+AC21+AC44+AC46+AC47</f>
        <v>0</v>
      </c>
      <c r="AD448" s="763"/>
      <c r="AE448" s="763"/>
      <c r="AF448" s="763"/>
      <c r="AG448" s="763"/>
      <c r="AH448" s="763"/>
      <c r="AI448" s="763"/>
      <c r="AJ448" s="763"/>
      <c r="AK448" s="763"/>
      <c r="AL448" s="763"/>
      <c r="AM448" s="763"/>
      <c r="AN448" s="763"/>
      <c r="AO448" s="763"/>
      <c r="AP448" s="763"/>
      <c r="AQ448" s="763"/>
      <c r="AR448" s="763"/>
      <c r="AS448" s="763"/>
      <c r="AT448" s="764">
        <f>AT16+AT21+AT44+AT46+AT47</f>
        <v>40794.715499999998</v>
      </c>
      <c r="AU448" s="764">
        <f>AU16+AU21+AU44+AU46+AU47</f>
        <v>0</v>
      </c>
      <c r="AV448" s="764">
        <f>AV16+AV21+AV44+AV46+AV47</f>
        <v>0</v>
      </c>
      <c r="AW448" s="764">
        <f>AW16+AW21+AW44+AW46+AW47</f>
        <v>40794.715499999998</v>
      </c>
      <c r="AX448" s="764">
        <f>AX16+AX21+AX44+AX46+AX47</f>
        <v>17395.873500000002</v>
      </c>
      <c r="AY448" s="232"/>
    </row>
    <row r="449" spans="1:51" s="765" customFormat="1" ht="38.25">
      <c r="A449" s="759">
        <f>B449-S449-T449</f>
        <v>1</v>
      </c>
      <c r="B449" s="760">
        <f>'[36]штат-розп'!K214</f>
        <v>41.25</v>
      </c>
      <c r="C449" s="761" t="s">
        <v>1500</v>
      </c>
      <c r="D449" s="762"/>
      <c r="E449" s="762"/>
      <c r="F449" s="762"/>
      <c r="G449" s="762"/>
      <c r="H449" s="758"/>
      <c r="I449" s="762"/>
      <c r="J449" s="758"/>
      <c r="K449" s="762"/>
      <c r="L449" s="762"/>
      <c r="M449" s="758"/>
      <c r="N449" s="762"/>
      <c r="O449" s="758"/>
      <c r="P449" s="762"/>
      <c r="Q449" s="762"/>
      <c r="R449" s="762"/>
      <c r="S449" s="763">
        <f>S113+S140+S164+S185+S207+S229+S258+S299+S328+S355+S371+S382+S401-S446</f>
        <v>30.75</v>
      </c>
      <c r="T449" s="763">
        <f>T113+T140+T164+T185+T207+T229+T258+T299+T328+T355+T371+T382+T401-T446</f>
        <v>9.5</v>
      </c>
      <c r="U449" s="763"/>
      <c r="V449" s="752"/>
      <c r="W449" s="763"/>
      <c r="X449" s="752"/>
      <c r="Y449" s="752"/>
      <c r="Z449" s="763"/>
      <c r="AA449" s="763"/>
      <c r="AB449" s="806">
        <f>AB113+AB140+AB164+AB185+AB207+AB229+AB258+AB299+AB328+AB355+AB371+AB382+AB401-AB446</f>
        <v>385926.94750000001</v>
      </c>
      <c r="AC449" s="806">
        <f>AC113+AC140+AC164+AC185+AC207+AC229+AC258+AC299+AC328+AC355+AC371+AC382+AC401-AC446</f>
        <v>419073.05249999999</v>
      </c>
      <c r="AD449" s="763"/>
      <c r="AE449" s="763"/>
      <c r="AF449" s="763"/>
      <c r="AG449" s="763"/>
      <c r="AH449" s="763"/>
      <c r="AI449" s="763"/>
      <c r="AJ449" s="763"/>
      <c r="AK449" s="763"/>
      <c r="AL449" s="763"/>
      <c r="AM449" s="763"/>
      <c r="AN449" s="763"/>
      <c r="AO449" s="763"/>
      <c r="AP449" s="763"/>
      <c r="AQ449" s="763"/>
      <c r="AR449" s="763"/>
      <c r="AS449" s="763"/>
      <c r="AT449" s="764">
        <f>AT113+AT140+AT164+AT185+AT207+AT229+AT258+AT299+AT328+AT355+AT371+AT382+AT401-AT446</f>
        <v>225490.82499999998</v>
      </c>
      <c r="AU449" s="764">
        <f>AU113+AU140+AU164+AU185+AU207+AU229+AU258+AU299+AU328+AU355+AU371+AU382+AU401-AU446</f>
        <v>74137.325000000012</v>
      </c>
      <c r="AV449" s="764">
        <f>AV113+AV140+AV164+AV185+AV207+AV229+AV258+AV299+AV328+AV355+AV371+AV382+AV401-AV446</f>
        <v>0</v>
      </c>
      <c r="AW449" s="764">
        <f>AW113+AW140+AW164+AW185+AW207+AW229+AW258+AW299+AW328+AW355+AW371+AW382+AW401-AW446</f>
        <v>314276.98749999993</v>
      </c>
      <c r="AX449" s="764">
        <f>AX113+AX140+AX164+AX185+AX207+AX229+AX258+AX299+AX328+AX355+AX371+AX382+AX401-AX446</f>
        <v>0</v>
      </c>
      <c r="AY449" s="232"/>
    </row>
    <row r="450" spans="1:51" s="765" customFormat="1" ht="38.25">
      <c r="A450" s="759">
        <f>B450-S450-T450</f>
        <v>0</v>
      </c>
      <c r="B450" s="760">
        <f>'[36]штат-розп'!K215</f>
        <v>97.5</v>
      </c>
      <c r="C450" s="761" t="s">
        <v>1581</v>
      </c>
      <c r="D450" s="762"/>
      <c r="E450" s="762"/>
      <c r="F450" s="762"/>
      <c r="G450" s="762"/>
      <c r="H450" s="758"/>
      <c r="I450" s="762"/>
      <c r="J450" s="758"/>
      <c r="K450" s="762"/>
      <c r="L450" s="762"/>
      <c r="M450" s="758"/>
      <c r="N450" s="762"/>
      <c r="O450" s="758"/>
      <c r="P450" s="762"/>
      <c r="Q450" s="762"/>
      <c r="R450" s="762"/>
      <c r="S450" s="766">
        <f>S30+S126+S152+S172+S194+S216+S237+S267+S273+S313+S336+S348+S363+S377+S392+S406+S412</f>
        <v>95</v>
      </c>
      <c r="T450" s="766">
        <f>T30+T126+T152+T172+T194+T216+T237+T267+T273+T313+T336+T348+T363+T377+T392+T406+T412</f>
        <v>2.5</v>
      </c>
      <c r="U450" s="766"/>
      <c r="V450" s="747"/>
      <c r="W450" s="766"/>
      <c r="X450" s="747"/>
      <c r="Y450" s="747"/>
      <c r="Z450" s="766"/>
      <c r="AA450" s="766"/>
      <c r="AB450" s="806">
        <f>AB30+AB126+AB152+AB172+AB194+AB216+AB237+AB267+AB273+AB313+AB336+AB348+AB363+AB377+AB392+AB406+AB412</f>
        <v>793378.78249999997</v>
      </c>
      <c r="AC450" s="806">
        <f>AC30+AC126+AC152+AC172+AC194+AC216+AC237+AC267+AC273+AC313+AC336+AC348+AC363+AC377+AC392+AC406+AC412</f>
        <v>522871.21750000003</v>
      </c>
      <c r="AD450" s="766"/>
      <c r="AE450" s="766"/>
      <c r="AF450" s="766"/>
      <c r="AG450" s="766"/>
      <c r="AH450" s="766"/>
      <c r="AI450" s="766"/>
      <c r="AJ450" s="766"/>
      <c r="AK450" s="766"/>
      <c r="AL450" s="766"/>
      <c r="AM450" s="766"/>
      <c r="AN450" s="766"/>
      <c r="AO450" s="766"/>
      <c r="AP450" s="766"/>
      <c r="AQ450" s="766"/>
      <c r="AR450" s="766"/>
      <c r="AS450" s="766"/>
      <c r="AT450" s="764">
        <f>AT30+AT126+AT152+AT172+AT194+AT216+AT237+AT267+AT273+AT313+AT336+AT348+AT363+AT377+AT392+AT406+AT412</f>
        <v>566342.47499999998</v>
      </c>
      <c r="AU450" s="764">
        <f>AU30+AU126+AU152+AU172+AU194+AU216+AU237+AU267+AU273+AU313+AU336+AU348+AU363+AU377+AU392+AU406+AU412</f>
        <v>19467.25</v>
      </c>
      <c r="AV450" s="764">
        <f>AV30+AV126+AV152+AV172+AV194+AV216+AV237+AV267+AV273+AV313+AV336+AV348+AV363+AV377+AV392+AV406+AV412</f>
        <v>0</v>
      </c>
      <c r="AW450" s="764">
        <f>AW30+AW126+AW152+AW172+AW194+AW216+AW237+AW267+AW273+AW313+AW336+AW348+AW363+AW377+AW392+AW406+AW412</f>
        <v>568962.47499999998</v>
      </c>
      <c r="AX450" s="764">
        <f>AX30+AX126+AX152+AX172+AX194+AX216+AX237+AX267+AX273+AX313+AX336+AX348+AX363+AX377+AX392+AX406+AX412</f>
        <v>0</v>
      </c>
      <c r="AY450" s="232"/>
    </row>
    <row r="451" spans="1:51" s="765" customFormat="1" ht="38.25">
      <c r="A451" s="759">
        <f>B451-S451-T451</f>
        <v>-1</v>
      </c>
      <c r="B451" s="760">
        <f>'[36]штат-розп'!K216</f>
        <v>43</v>
      </c>
      <c r="C451" s="761" t="s">
        <v>1582</v>
      </c>
      <c r="D451" s="762"/>
      <c r="E451" s="762"/>
      <c r="F451" s="762"/>
      <c r="G451" s="762"/>
      <c r="H451" s="758"/>
      <c r="I451" s="762"/>
      <c r="J451" s="758"/>
      <c r="K451" s="762"/>
      <c r="L451" s="762"/>
      <c r="M451" s="758"/>
      <c r="N451" s="762"/>
      <c r="O451" s="758"/>
      <c r="P451" s="762"/>
      <c r="Q451" s="762"/>
      <c r="R451" s="762"/>
      <c r="S451" s="763">
        <f>S159+S179+S201+S223+S241+S281+S287+S320+S343+S366+S395</f>
        <v>44</v>
      </c>
      <c r="T451" s="763">
        <f>T159+T179+T201+T223+T241+T281+T287+T320+T343+T366+T395</f>
        <v>0</v>
      </c>
      <c r="U451" s="763"/>
      <c r="V451" s="752"/>
      <c r="W451" s="763"/>
      <c r="X451" s="752"/>
      <c r="Y451" s="752"/>
      <c r="Z451" s="763"/>
      <c r="AA451" s="763"/>
      <c r="AB451" s="806">
        <f>AB159+AB179+AB201+AB223+AB241+AB281+AB287+AB320+AB343+AB366+AB395</f>
        <v>369268.7</v>
      </c>
      <c r="AC451" s="806">
        <f>AC159+AC179+AC201+AC223+AC241+AC281+AC287+AC320+AC343+AC366+AC395</f>
        <v>0</v>
      </c>
      <c r="AD451" s="763"/>
      <c r="AE451" s="763"/>
      <c r="AF451" s="763"/>
      <c r="AG451" s="763"/>
      <c r="AH451" s="763"/>
      <c r="AI451" s="763"/>
      <c r="AJ451" s="763"/>
      <c r="AK451" s="763"/>
      <c r="AL451" s="763"/>
      <c r="AM451" s="763"/>
      <c r="AN451" s="763"/>
      <c r="AO451" s="763"/>
      <c r="AP451" s="763"/>
      <c r="AQ451" s="763"/>
      <c r="AR451" s="763"/>
      <c r="AS451" s="763"/>
      <c r="AT451" s="764">
        <f>AT159+AT179+AT201+AT223+AT241+AT281+AT287+AT320+AT343+AT366+AT395</f>
        <v>172687</v>
      </c>
      <c r="AU451" s="764">
        <f>AU159+AU179+AU201+AU223+AU241+AU281+AU287+AU320+AU343+AU366+AU395</f>
        <v>0</v>
      </c>
      <c r="AV451" s="764">
        <f>AV159+AV179+AV201+AV223+AV241+AV281+AV287+AV320+AV343+AV366+AV395</f>
        <v>0</v>
      </c>
      <c r="AW451" s="764">
        <f>AW159+AW179+AW201+AW223+AW241+AW281+AW287+AW320+AW343+AW366+AW395</f>
        <v>172687</v>
      </c>
      <c r="AX451" s="764">
        <f>AX159+AX179+AX201+AX223+AX241+AX281+AX287+AX320+AX343+AX366+AX395</f>
        <v>0</v>
      </c>
      <c r="AY451" s="232"/>
    </row>
    <row r="452" spans="1:51" s="765" customFormat="1" ht="38.25">
      <c r="A452" s="759">
        <f>B452-S452-T452</f>
        <v>0</v>
      </c>
      <c r="B452" s="760">
        <f>'[36]штат-розп'!K217</f>
        <v>43.5</v>
      </c>
      <c r="C452" s="761" t="s">
        <v>1399</v>
      </c>
      <c r="D452" s="762"/>
      <c r="E452" s="762"/>
      <c r="F452" s="762"/>
      <c r="G452" s="762"/>
      <c r="H452" s="758"/>
      <c r="I452" s="762"/>
      <c r="J452" s="758"/>
      <c r="K452" s="762"/>
      <c r="L452" s="762"/>
      <c r="M452" s="758"/>
      <c r="N452" s="762"/>
      <c r="O452" s="758"/>
      <c r="P452" s="762"/>
      <c r="Q452" s="762"/>
      <c r="R452" s="762"/>
      <c r="S452" s="763">
        <f>S18+S22+S23+S24+S25+S26+S29+S31+S42+S49+S50+S51+S52+S53+S54+S56+S57+S58+S59+S61+S62+S63+S64+S65+S66+S67+S69+S70+S71+S72+S73+S74+S76+S77+S78+S79+S80+S81+S82+S83+S84+S85+S86</f>
        <v>39</v>
      </c>
      <c r="T452" s="763">
        <f>T18+T22+T23+T24+T25+T26+T29+T31+T42+T49+T50+T51+T52+T53+T54+T56+T57+T58+T59+T61+T62+T63+T64+T65+T66+T67+T69+T70+T71+T72+T73+T74+T76+T77+T78+T79+T80+T81+T82+T83+T84+T85+T86</f>
        <v>4.5</v>
      </c>
      <c r="U452" s="763"/>
      <c r="V452" s="752"/>
      <c r="W452" s="763"/>
      <c r="X452" s="752"/>
      <c r="Y452" s="752"/>
      <c r="Z452" s="763"/>
      <c r="AA452" s="763"/>
      <c r="AB452" s="806">
        <f>AB18+AB22+AB23+AB24+AB25+AB26+AB29+AB31+AB42+AB49+AB50+AB51+AB52+AB53+AB54+AB56+AB57+AB58+AB59+AB61+AB62+AB63+AB64+AB65+AB66+AB67+AB69+AB70+AB71+AB72+AB73+AB74+AB76+AB77+AB78+AB79+AB80+AB81+AB82+AB83+AB84+AB86+AB85</f>
        <v>349278</v>
      </c>
      <c r="AC452" s="806">
        <f>AC18+AC22+AC23+AC24+AC25+AC26+AC29+AC31+AC42+AC49+AC50+AC51+AC52+AC53+AC54+AC56+AC57+AC58+AC59+AC61+AC62+AC63+AC64+AC65+AC66+AC67+AC69+AC70+AC71+AC72+AC73+AC74+AC76+AC77+AC78+AC79+AC80+AC81+AC82+AC83+AC84+AC86+AC85</f>
        <v>0</v>
      </c>
      <c r="AD452" s="763"/>
      <c r="AE452" s="763"/>
      <c r="AF452" s="763"/>
      <c r="AG452" s="763"/>
      <c r="AH452" s="763"/>
      <c r="AI452" s="763"/>
      <c r="AJ452" s="763"/>
      <c r="AK452" s="763"/>
      <c r="AL452" s="763"/>
      <c r="AM452" s="763"/>
      <c r="AN452" s="763"/>
      <c r="AO452" s="763"/>
      <c r="AP452" s="763"/>
      <c r="AQ452" s="763"/>
      <c r="AR452" s="763"/>
      <c r="AS452" s="763"/>
      <c r="AT452" s="764">
        <f>AT18+AT22+AT23+AT24+AT25+AT26+AT29+AT31+AT42+AT49+AT50+AT51+AT52+AT53+AT54+AT56+AT57+AT58+AT59+AT61+AT62+AT63+AT64+AT65+AT66+AT67+AT69+AT70+AT71+AT72+AT73+AT74+AT76+AT77+AT78+AT79+AT80+AT81+AT82+AT83+AT84+AT86</f>
        <v>172141.6</v>
      </c>
      <c r="AU452" s="764">
        <f>AU18+AU22+AU23+AU24+AU25+AU26+AU29+AU31+AU42+AU49+AU50+AU51+AU52+AU53+AU54+AU56+AU57+AU58+AU59+AU61+AU62+AU63+AU64+AU65+AU66+AU67+AU69+AU70+AU71+AU72+AU73+AU74+AU76+AU77+AU78+AU79+AU80+AU81+AU82+AU83+AU84+AU86</f>
        <v>18843.8</v>
      </c>
      <c r="AV452" s="764">
        <f>AV18+AV22+AV23+AV24+AV25+AV26+AV29+AV31+AV42+AV49+AV50+AV51+AV52+AV53+AV54+AV56+AV57+AV58+AV59+AV61+AV62+AV63+AV64+AV65+AV66+AV67+AV69+AV70+AV71+AV72+AV73+AV74+AV76+AV77+AV78+AV79+AV80+AV81+AV82+AV83+AV84+AV86</f>
        <v>0</v>
      </c>
      <c r="AW452" s="764">
        <f>AW18+AW22+AW23+AW24+AW25+AW26+AW29+AW31+AW42+AW49+AW50+AW51+AW52+AW53+AW54+AW56+AW57+AW58+AW59+AW61+AW62+AW63+AW64+AW65+AW66+AW67+AW69+AW70+AW71+AW72+AW73+AW74+AW76+AW77+AW78+AW79+AW80+AW81+AW82+AW83+AW84+AW86+AW85</f>
        <v>183068.40000000002</v>
      </c>
      <c r="AX452" s="764">
        <f>AX18+AX22+AX23+AX24+AX25+AX26+AX29+AX31+AX42+AX49+AX50+AX51+AX52+AX53+AX54+AX56+AX57+AX58+AX59+AX61+AX62+AX63+AX64+AX65+AX66+AX67+AX69+AX70+AX71+AX72+AX73+AX74+AX76+AX77+AX78+AX79+AX80+AX81+AX82+AX83+AX84+AX86+AX85</f>
        <v>71500</v>
      </c>
      <c r="AY452" s="232"/>
    </row>
    <row r="453" spans="1:51" s="765" customFormat="1" ht="38.25">
      <c r="B453" s="762"/>
      <c r="C453" s="762"/>
      <c r="D453" s="762"/>
      <c r="E453" s="762"/>
      <c r="F453" s="762"/>
      <c r="G453" s="762"/>
      <c r="H453" s="758"/>
      <c r="I453" s="762"/>
      <c r="J453" s="758"/>
      <c r="K453" s="762"/>
      <c r="L453" s="762"/>
      <c r="M453" s="758"/>
      <c r="N453" s="762"/>
      <c r="O453" s="758"/>
      <c r="P453" s="762"/>
      <c r="Q453" s="762"/>
      <c r="R453" s="762"/>
      <c r="S453" s="763">
        <f>SUM(S445:S452)</f>
        <v>224.75</v>
      </c>
      <c r="T453" s="763">
        <f>SUM(T445:T452)</f>
        <v>16.5</v>
      </c>
      <c r="U453" s="763"/>
      <c r="V453" s="752"/>
      <c r="W453" s="763"/>
      <c r="X453" s="752"/>
      <c r="Y453" s="752"/>
      <c r="Z453" s="763"/>
      <c r="AA453" s="763"/>
      <c r="AB453" s="806">
        <f>SUM(AB445:AB452)</f>
        <v>2113844.6065999996</v>
      </c>
      <c r="AC453" s="806">
        <f>SUM(AC445:AC452)</f>
        <v>992784.94035000005</v>
      </c>
      <c r="AD453" s="763"/>
      <c r="AE453" s="763"/>
      <c r="AF453" s="763"/>
      <c r="AG453" s="763"/>
      <c r="AH453" s="763"/>
      <c r="AI453" s="763"/>
      <c r="AJ453" s="763"/>
      <c r="AK453" s="763"/>
      <c r="AL453" s="763"/>
      <c r="AM453" s="763"/>
      <c r="AN453" s="763"/>
      <c r="AO453" s="763"/>
      <c r="AP453" s="763"/>
      <c r="AQ453" s="763"/>
      <c r="AR453" s="763"/>
      <c r="AS453" s="763"/>
      <c r="AT453" s="764">
        <f>SUM(AT445:AT452)</f>
        <v>1304674.6625000001</v>
      </c>
      <c r="AU453" s="764">
        <f>SUM(AU445:AU452)</f>
        <v>112448.37500000001</v>
      </c>
      <c r="AV453" s="764">
        <f>SUM(AV445:AV452)</f>
        <v>0</v>
      </c>
      <c r="AW453" s="764">
        <f>SUM(AW445:AW452)</f>
        <v>1407007.625</v>
      </c>
      <c r="AX453" s="764">
        <f>SUM(AX445:AX452)</f>
        <v>88895.873500000002</v>
      </c>
      <c r="AY453" s="837"/>
    </row>
    <row r="454" spans="1:51" s="256" customFormat="1" ht="61.5" customHeight="1">
      <c r="B454" s="235"/>
      <c r="C454" s="236"/>
      <c r="D454" s="235"/>
      <c r="E454" s="235"/>
      <c r="F454" s="235"/>
      <c r="G454" s="235"/>
      <c r="H454" s="767"/>
      <c r="I454" s="235"/>
      <c r="J454" s="767"/>
      <c r="K454" s="235"/>
      <c r="L454" s="235"/>
      <c r="M454" s="767"/>
      <c r="N454" s="235"/>
      <c r="O454" s="767"/>
      <c r="P454" s="235"/>
      <c r="Q454" s="235"/>
      <c r="R454" s="235"/>
      <c r="S454" s="254">
        <f>S453+T453</f>
        <v>241.25</v>
      </c>
      <c r="T454" s="254"/>
      <c r="U454" s="235"/>
      <c r="V454" s="767"/>
      <c r="W454" s="235"/>
      <c r="X454" s="767"/>
      <c r="Y454" s="767"/>
      <c r="Z454" s="235"/>
      <c r="AA454" s="235"/>
      <c r="AB454" s="807"/>
      <c r="AC454" s="255"/>
      <c r="AD454" s="255"/>
      <c r="AE454" s="235"/>
      <c r="AF454" s="235"/>
      <c r="AG454" s="255"/>
      <c r="AH454" s="235"/>
      <c r="AI454" s="255"/>
      <c r="AJ454" s="768"/>
      <c r="AK454" s="768"/>
      <c r="AL454" s="768"/>
      <c r="AM454" s="768"/>
      <c r="AN454" s="768"/>
      <c r="AO454" s="255"/>
      <c r="AP454" s="255"/>
      <c r="AQ454" s="255"/>
      <c r="AR454" s="255"/>
      <c r="AS454" s="255"/>
      <c r="AT454" s="255"/>
      <c r="AU454" s="768"/>
      <c r="AV454" s="768"/>
      <c r="AW454" s="768"/>
      <c r="AY454" s="232"/>
    </row>
    <row r="455" spans="1:51" s="256" customFormat="1" ht="61.5" customHeight="1">
      <c r="B455" s="235"/>
      <c r="C455" s="236"/>
      <c r="D455" s="235"/>
      <c r="E455" s="235"/>
      <c r="F455" s="235"/>
      <c r="G455" s="235"/>
      <c r="H455" s="767"/>
      <c r="I455" s="235"/>
      <c r="J455" s="767"/>
      <c r="K455" s="235"/>
      <c r="L455" s="235"/>
      <c r="M455" s="767"/>
      <c r="N455" s="235"/>
      <c r="O455" s="767"/>
      <c r="P455" s="235"/>
      <c r="Q455" s="235"/>
      <c r="R455" s="235"/>
      <c r="S455" s="254"/>
      <c r="T455" s="254"/>
      <c r="U455" s="235"/>
      <c r="V455" s="767"/>
      <c r="W455" s="235"/>
      <c r="X455" s="767"/>
      <c r="Y455" s="767"/>
      <c r="Z455" s="235"/>
      <c r="AA455" s="235"/>
      <c r="AB455" s="807"/>
      <c r="AC455" s="255"/>
      <c r="AD455" s="255"/>
      <c r="AE455" s="235"/>
      <c r="AF455" s="235"/>
      <c r="AG455" s="255"/>
      <c r="AH455" s="235"/>
      <c r="AI455" s="255"/>
      <c r="AJ455" s="768"/>
      <c r="AK455" s="768"/>
      <c r="AL455" s="768"/>
      <c r="AM455" s="768"/>
      <c r="AN455" s="768"/>
      <c r="AO455" s="255"/>
      <c r="AP455" s="255"/>
      <c r="AQ455" s="255"/>
      <c r="AR455" s="255"/>
      <c r="AS455" s="255"/>
      <c r="AT455" s="255"/>
      <c r="AU455" s="768"/>
      <c r="AV455" s="770"/>
      <c r="AW455" s="76"/>
    </row>
    <row r="456" spans="1:51" s="76" customFormat="1" ht="50.1" customHeight="1">
      <c r="B456" s="237"/>
      <c r="C456" s="238" t="s">
        <v>1341</v>
      </c>
      <c r="D456" s="239"/>
      <c r="E456" s="240" t="s">
        <v>1383</v>
      </c>
      <c r="F456" s="226"/>
      <c r="G456" s="226"/>
      <c r="H456" s="771"/>
      <c r="I456" s="226"/>
      <c r="J456" s="772"/>
      <c r="K456" s="226"/>
      <c r="L456" s="225"/>
      <c r="M456" s="773"/>
      <c r="N456" s="225"/>
      <c r="O456" s="773"/>
      <c r="P456" s="225"/>
      <c r="Q456" s="225"/>
      <c r="R456" s="225"/>
      <c r="S456" s="225"/>
      <c r="T456" s="225"/>
      <c r="U456" s="225"/>
      <c r="V456" s="773"/>
      <c r="W456" s="225"/>
      <c r="X456" s="773"/>
      <c r="Y456" s="773"/>
      <c r="Z456" s="225"/>
      <c r="AA456" s="225"/>
      <c r="AB456" s="808"/>
      <c r="AC456" s="774"/>
      <c r="AD456" s="774"/>
      <c r="AE456" s="247"/>
      <c r="AF456" s="247"/>
      <c r="AG456" s="774"/>
      <c r="AH456" s="247"/>
      <c r="AI456" s="775"/>
      <c r="AJ456" s="775"/>
      <c r="AK456" s="775"/>
      <c r="AL456" s="775"/>
      <c r="AM456" s="775"/>
      <c r="AN456" s="775"/>
      <c r="AO456" s="252"/>
      <c r="AP456" s="252"/>
      <c r="AQ456" s="252"/>
      <c r="AR456" s="252"/>
      <c r="AS456" s="252"/>
      <c r="AT456" s="775"/>
      <c r="AU456" s="776"/>
      <c r="AV456" s="776"/>
    </row>
    <row r="457" spans="1:51" s="76" customFormat="1" ht="50.1" customHeight="1">
      <c r="B457" s="237"/>
      <c r="C457" s="238" t="s">
        <v>1275</v>
      </c>
      <c r="D457" s="239"/>
      <c r="E457" s="240" t="s">
        <v>1825</v>
      </c>
      <c r="F457" s="226"/>
      <c r="G457" s="226"/>
      <c r="H457" s="771"/>
      <c r="I457" s="226"/>
      <c r="J457" s="777"/>
      <c r="K457" s="226"/>
      <c r="L457" s="225"/>
      <c r="M457" s="773"/>
      <c r="N457" s="227"/>
      <c r="O457" s="778"/>
      <c r="P457" s="227"/>
      <c r="Q457" s="227"/>
      <c r="R457" s="227"/>
      <c r="S457" s="227"/>
      <c r="T457" s="227"/>
      <c r="U457" s="227"/>
      <c r="V457" s="778"/>
      <c r="W457" s="227"/>
      <c r="X457" s="773"/>
      <c r="Y457" s="773"/>
      <c r="Z457" s="225"/>
      <c r="AA457" s="225"/>
      <c r="AB457" s="808"/>
      <c r="AC457" s="774"/>
      <c r="AD457" s="774"/>
      <c r="AE457" s="247"/>
      <c r="AF457" s="247"/>
      <c r="AG457" s="774"/>
      <c r="AH457" s="247"/>
      <c r="AI457" s="253"/>
      <c r="AJ457" s="253"/>
      <c r="AK457" s="253"/>
      <c r="AL457" s="253"/>
      <c r="AM457" s="253"/>
      <c r="AN457" s="253"/>
      <c r="AO457" s="252"/>
      <c r="AP457" s="252"/>
      <c r="AQ457" s="252"/>
      <c r="AR457" s="252"/>
      <c r="AS457" s="252"/>
      <c r="AT457" s="253"/>
      <c r="AU457" s="779"/>
      <c r="AV457" s="776"/>
    </row>
    <row r="458" spans="1:51" s="76" customFormat="1" ht="50.1" customHeight="1">
      <c r="B458" s="237"/>
      <c r="C458" s="238"/>
      <c r="D458" s="241"/>
      <c r="E458" s="242"/>
      <c r="F458" s="226"/>
      <c r="G458" s="226"/>
      <c r="H458" s="771"/>
      <c r="I458" s="226"/>
      <c r="J458" s="772"/>
      <c r="K458" s="226"/>
      <c r="L458" s="225"/>
      <c r="M458" s="773"/>
      <c r="N458" s="226"/>
      <c r="O458" s="771"/>
      <c r="P458" s="228"/>
      <c r="Q458" s="171"/>
      <c r="R458" s="226"/>
      <c r="S458" s="226"/>
      <c r="T458" s="228"/>
      <c r="U458" s="171"/>
      <c r="V458" s="771"/>
      <c r="W458" s="225"/>
      <c r="X458" s="773"/>
      <c r="Y458" s="773"/>
      <c r="Z458" s="225"/>
      <c r="AA458" s="225"/>
      <c r="AB458" s="808"/>
      <c r="AC458" s="774"/>
      <c r="AD458" s="774"/>
      <c r="AE458" s="247"/>
      <c r="AF458" s="247"/>
      <c r="AG458" s="774"/>
      <c r="AH458" s="247"/>
      <c r="AI458" s="248"/>
      <c r="AJ458" s="248"/>
      <c r="AK458" s="248"/>
      <c r="AL458" s="248"/>
      <c r="AM458" s="248"/>
      <c r="AN458" s="248"/>
      <c r="AO458" s="248"/>
      <c r="AP458" s="248"/>
      <c r="AQ458" s="248"/>
      <c r="AR458" s="248"/>
      <c r="AS458" s="248"/>
      <c r="AT458" s="248"/>
      <c r="AU458" s="780"/>
      <c r="AV458" s="255"/>
    </row>
    <row r="459" spans="1:51" s="76" customFormat="1" ht="50.1" customHeight="1">
      <c r="B459" s="237"/>
      <c r="C459" s="238" t="s">
        <v>1276</v>
      </c>
      <c r="D459" s="239"/>
      <c r="E459" s="240" t="s">
        <v>209</v>
      </c>
      <c r="F459" s="226"/>
      <c r="G459" s="226"/>
      <c r="H459" s="771"/>
      <c r="I459" s="228"/>
      <c r="J459" s="777"/>
      <c r="K459" s="226"/>
      <c r="L459" s="225"/>
      <c r="M459" s="773"/>
      <c r="N459" s="226"/>
      <c r="O459" s="771"/>
      <c r="P459" s="228"/>
      <c r="Q459" s="173"/>
      <c r="R459" s="226"/>
      <c r="S459" s="226"/>
      <c r="T459" s="228"/>
      <c r="U459" s="173"/>
      <c r="V459" s="771"/>
      <c r="W459" s="225"/>
      <c r="X459" s="773"/>
      <c r="Y459" s="773"/>
      <c r="Z459" s="225"/>
      <c r="AA459" s="225"/>
      <c r="AB459" s="808"/>
      <c r="AC459" s="774"/>
      <c r="AD459" s="774"/>
      <c r="AE459" s="247"/>
      <c r="AF459" s="247"/>
      <c r="AG459" s="774"/>
      <c r="AH459" s="247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781"/>
      <c r="AV459" s="781"/>
      <c r="AW459" s="782"/>
    </row>
    <row r="460" spans="1:51" s="76" customFormat="1" ht="50.1" customHeight="1">
      <c r="B460" s="243"/>
      <c r="C460" s="244"/>
      <c r="D460" s="245"/>
      <c r="E460" s="246" t="s">
        <v>1826</v>
      </c>
      <c r="F460" s="170"/>
      <c r="G460" s="170"/>
      <c r="H460" s="783"/>
      <c r="I460" s="143"/>
      <c r="J460" s="777"/>
      <c r="K460" s="170"/>
      <c r="L460" s="169"/>
      <c r="M460" s="784"/>
      <c r="N460" s="170"/>
      <c r="O460" s="783"/>
      <c r="P460" s="143"/>
      <c r="Q460" s="172"/>
      <c r="R460" s="170"/>
      <c r="S460" s="170"/>
      <c r="T460" s="143"/>
      <c r="U460" s="172"/>
      <c r="V460" s="783"/>
      <c r="W460" s="169"/>
      <c r="X460" s="784"/>
      <c r="Y460" s="784"/>
      <c r="Z460" s="169"/>
      <c r="AA460" s="169"/>
      <c r="AB460" s="809"/>
      <c r="AC460" s="785"/>
      <c r="AD460" s="786"/>
      <c r="AE460" s="160"/>
      <c r="AF460" s="160"/>
      <c r="AG460" s="786"/>
      <c r="AH460" s="160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787"/>
      <c r="AV460" s="787"/>
    </row>
    <row r="461" spans="1:51" s="76" customFormat="1" ht="50.1" customHeight="1">
      <c r="B461" s="243"/>
      <c r="C461" s="244"/>
      <c r="D461" s="245"/>
      <c r="E461" s="246" t="s">
        <v>210</v>
      </c>
      <c r="F461" s="170"/>
      <c r="G461" s="170"/>
      <c r="H461" s="783"/>
      <c r="I461" s="143"/>
      <c r="J461" s="772"/>
      <c r="K461" s="170"/>
      <c r="L461" s="169"/>
      <c r="M461" s="784"/>
      <c r="N461" s="170"/>
      <c r="O461" s="783"/>
      <c r="P461" s="143"/>
      <c r="Q461" s="173"/>
      <c r="R461" s="170"/>
      <c r="S461" s="170"/>
      <c r="T461" s="143"/>
      <c r="U461" s="173"/>
      <c r="V461" s="783"/>
      <c r="W461" s="169"/>
      <c r="X461" s="784"/>
      <c r="Y461" s="784"/>
      <c r="Z461" s="169"/>
      <c r="AA461" s="169"/>
      <c r="AB461" s="809"/>
      <c r="AC461" s="786"/>
      <c r="AD461" s="786"/>
      <c r="AE461" s="160"/>
      <c r="AF461" s="160"/>
      <c r="AG461" s="786"/>
      <c r="AH461" s="160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2"/>
      <c r="AU461" s="162"/>
      <c r="AV461" s="161"/>
      <c r="AW461" s="161"/>
    </row>
    <row r="462" spans="1:51" s="78" customFormat="1" ht="50.1" customHeight="1">
      <c r="B462" s="243"/>
      <c r="C462" s="244"/>
      <c r="D462" s="245"/>
      <c r="E462" s="246" t="s">
        <v>1827</v>
      </c>
      <c r="F462" s="170"/>
      <c r="G462" s="170"/>
      <c r="H462" s="783"/>
      <c r="I462" s="143"/>
      <c r="J462" s="772"/>
      <c r="K462" s="170"/>
      <c r="L462" s="169"/>
      <c r="M462" s="784"/>
      <c r="N462" s="170"/>
      <c r="O462" s="783"/>
      <c r="P462" s="143"/>
      <c r="Q462" s="173"/>
      <c r="R462" s="170"/>
      <c r="S462" s="170"/>
      <c r="T462" s="143"/>
      <c r="U462" s="173"/>
      <c r="V462" s="783"/>
      <c r="W462" s="169"/>
      <c r="X462" s="784"/>
      <c r="Y462" s="784"/>
      <c r="Z462" s="169"/>
      <c r="AA462" s="169"/>
      <c r="AB462" s="809"/>
      <c r="AC462" s="786"/>
      <c r="AD462" s="786"/>
      <c r="AE462" s="160"/>
      <c r="AF462" s="160"/>
      <c r="AG462" s="786"/>
      <c r="AH462" s="160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3"/>
      <c r="AU462" s="163"/>
      <c r="AV462" s="161"/>
      <c r="AW462" s="161"/>
    </row>
    <row r="463" spans="1:51" s="79" customFormat="1" ht="50.1" customHeight="1">
      <c r="B463" s="243"/>
      <c r="C463" s="244"/>
      <c r="D463" s="245"/>
      <c r="E463" s="246" t="s">
        <v>1828</v>
      </c>
      <c r="F463" s="170"/>
      <c r="G463" s="170"/>
      <c r="H463" s="783"/>
      <c r="I463" s="143"/>
      <c r="J463" s="772"/>
      <c r="K463" s="170"/>
      <c r="L463" s="169"/>
      <c r="M463" s="784"/>
      <c r="N463" s="170"/>
      <c r="O463" s="783"/>
      <c r="P463" s="143"/>
      <c r="Q463" s="173"/>
      <c r="R463" s="170"/>
      <c r="S463" s="170"/>
      <c r="T463" s="143"/>
      <c r="U463" s="173"/>
      <c r="V463" s="783"/>
      <c r="W463" s="169"/>
      <c r="X463" s="784"/>
      <c r="Y463" s="784"/>
      <c r="Z463" s="169"/>
      <c r="AA463" s="169"/>
      <c r="AB463" s="809"/>
      <c r="AC463" s="786"/>
      <c r="AD463" s="786"/>
      <c r="AE463" s="160"/>
      <c r="AF463" s="160"/>
      <c r="AG463" s="786"/>
      <c r="AH463" s="160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3"/>
      <c r="AU463" s="163"/>
      <c r="AV463" s="161"/>
      <c r="AW463" s="161"/>
    </row>
    <row r="464" spans="1:51" s="76" customFormat="1" ht="50.1" customHeight="1">
      <c r="B464" s="243"/>
      <c r="C464" s="244"/>
      <c r="D464" s="245"/>
      <c r="E464" s="246" t="s">
        <v>1829</v>
      </c>
      <c r="F464" s="170"/>
      <c r="G464" s="170"/>
      <c r="H464" s="783"/>
      <c r="I464" s="143"/>
      <c r="J464" s="772"/>
      <c r="K464" s="170"/>
      <c r="L464" s="169"/>
      <c r="M464" s="784"/>
      <c r="N464" s="170"/>
      <c r="O464" s="783"/>
      <c r="P464" s="143"/>
      <c r="Q464" s="173"/>
      <c r="R464" s="170"/>
      <c r="S464" s="170"/>
      <c r="T464" s="143"/>
      <c r="U464" s="173"/>
      <c r="V464" s="783"/>
      <c r="W464" s="169"/>
      <c r="X464" s="784"/>
      <c r="Y464" s="784"/>
      <c r="Z464" s="169"/>
      <c r="AA464" s="169"/>
      <c r="AB464" s="809"/>
      <c r="AC464" s="786"/>
      <c r="AD464" s="786"/>
      <c r="AE464" s="160"/>
      <c r="AF464" s="160"/>
      <c r="AG464" s="786"/>
      <c r="AH464" s="160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3"/>
      <c r="AU464" s="163"/>
      <c r="AV464" s="161"/>
      <c r="AW464" s="161"/>
    </row>
    <row r="465" spans="2:49" s="76" customFormat="1" ht="50.1" customHeight="1">
      <c r="B465" s="243"/>
      <c r="C465" s="244"/>
      <c r="D465" s="245"/>
      <c r="E465" s="246" t="s">
        <v>1830</v>
      </c>
      <c r="F465" s="170"/>
      <c r="G465" s="170"/>
      <c r="H465" s="783"/>
      <c r="I465" s="143"/>
      <c r="J465" s="772"/>
      <c r="K465" s="170"/>
      <c r="L465" s="169"/>
      <c r="M465" s="784"/>
      <c r="N465" s="170"/>
      <c r="O465" s="783"/>
      <c r="P465" s="143"/>
      <c r="Q465" s="173"/>
      <c r="R465" s="170"/>
      <c r="S465" s="170"/>
      <c r="T465" s="143"/>
      <c r="U465" s="173"/>
      <c r="V465" s="783"/>
      <c r="W465" s="169"/>
      <c r="X465" s="784"/>
      <c r="Y465" s="784"/>
      <c r="Z465" s="169"/>
      <c r="AA465" s="169"/>
      <c r="AB465" s="809"/>
      <c r="AC465" s="786"/>
      <c r="AD465" s="786"/>
      <c r="AE465" s="160"/>
      <c r="AF465" s="160"/>
      <c r="AG465" s="786"/>
      <c r="AH465" s="160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3"/>
      <c r="AU465" s="163"/>
      <c r="AV465" s="161"/>
      <c r="AW465" s="161"/>
    </row>
    <row r="466" spans="2:49" s="76" customFormat="1" ht="50.1" customHeight="1">
      <c r="B466" s="243"/>
      <c r="C466" s="244"/>
      <c r="D466" s="245"/>
      <c r="E466" s="246" t="s">
        <v>1831</v>
      </c>
      <c r="F466" s="170"/>
      <c r="G466" s="170"/>
      <c r="H466" s="783"/>
      <c r="I466" s="143"/>
      <c r="J466" s="772"/>
      <c r="K466" s="170"/>
      <c r="L466" s="169"/>
      <c r="M466" s="784"/>
      <c r="N466" s="170"/>
      <c r="O466" s="783"/>
      <c r="P466" s="143"/>
      <c r="Q466" s="173"/>
      <c r="R466" s="170"/>
      <c r="S466" s="170"/>
      <c r="T466" s="143"/>
      <c r="U466" s="173"/>
      <c r="V466" s="783"/>
      <c r="W466" s="169"/>
      <c r="X466" s="784"/>
      <c r="Y466" s="784"/>
      <c r="Z466" s="169"/>
      <c r="AA466" s="169"/>
      <c r="AB466" s="809"/>
      <c r="AC466" s="786"/>
      <c r="AD466" s="786"/>
      <c r="AE466" s="160"/>
      <c r="AF466" s="160"/>
      <c r="AG466" s="786"/>
      <c r="AH466" s="160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3"/>
      <c r="AU466" s="163"/>
      <c r="AV466" s="161"/>
      <c r="AW466" s="161"/>
    </row>
    <row r="467" spans="2:49" s="76" customFormat="1" ht="50.1" customHeight="1">
      <c r="B467" s="243"/>
      <c r="C467" s="244"/>
      <c r="D467" s="245"/>
      <c r="E467" s="246" t="s">
        <v>1832</v>
      </c>
      <c r="F467" s="170"/>
      <c r="G467" s="170"/>
      <c r="H467" s="783"/>
      <c r="I467" s="143"/>
      <c r="J467" s="772"/>
      <c r="K467" s="170"/>
      <c r="L467" s="169"/>
      <c r="M467" s="784"/>
      <c r="N467" s="170"/>
      <c r="O467" s="783"/>
      <c r="P467" s="143"/>
      <c r="Q467" s="173"/>
      <c r="R467" s="170"/>
      <c r="S467" s="170"/>
      <c r="T467" s="143"/>
      <c r="U467" s="173"/>
      <c r="V467" s="783"/>
      <c r="W467" s="169"/>
      <c r="X467" s="784"/>
      <c r="Y467" s="784"/>
      <c r="Z467" s="169"/>
      <c r="AA467" s="169"/>
      <c r="AB467" s="809"/>
      <c r="AC467" s="786"/>
      <c r="AD467" s="786"/>
      <c r="AE467" s="160"/>
      <c r="AF467" s="160"/>
      <c r="AG467" s="786"/>
      <c r="AH467" s="160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3"/>
      <c r="AU467" s="163"/>
      <c r="AV467" s="161"/>
      <c r="AW467" s="161"/>
    </row>
    <row r="468" spans="2:49" s="76" customFormat="1" ht="24.95" customHeight="1">
      <c r="B468" s="94"/>
      <c r="C468" s="146"/>
      <c r="D468" s="189"/>
      <c r="E468" s="170"/>
      <c r="F468" s="170"/>
      <c r="G468" s="170"/>
      <c r="H468" s="783"/>
      <c r="I468" s="143"/>
      <c r="J468" s="772"/>
      <c r="K468" s="170"/>
      <c r="L468" s="169"/>
      <c r="M468" s="784"/>
      <c r="N468" s="170"/>
      <c r="O468" s="783"/>
      <c r="P468" s="143"/>
      <c r="Q468" s="173"/>
      <c r="R468" s="170"/>
      <c r="S468" s="174"/>
      <c r="T468" s="143"/>
      <c r="U468" s="173"/>
      <c r="V468" s="783"/>
      <c r="W468" s="169"/>
      <c r="X468" s="784"/>
      <c r="Y468" s="784"/>
      <c r="Z468" s="169"/>
      <c r="AA468" s="169"/>
      <c r="AB468" s="809"/>
      <c r="AC468" s="786"/>
      <c r="AD468" s="786"/>
      <c r="AE468" s="160"/>
      <c r="AF468" s="160"/>
      <c r="AG468" s="786"/>
      <c r="AH468" s="160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3"/>
      <c r="AU468" s="163"/>
      <c r="AV468" s="161"/>
      <c r="AW468" s="161"/>
    </row>
    <row r="469" spans="2:49" s="76" customFormat="1" ht="24.95" customHeight="1">
      <c r="B469" s="94"/>
      <c r="C469" s="146"/>
      <c r="D469" s="189"/>
      <c r="E469" s="170"/>
      <c r="F469" s="170"/>
      <c r="G469" s="170"/>
      <c r="H469" s="783"/>
      <c r="I469" s="143"/>
      <c r="J469" s="772"/>
      <c r="K469" s="170"/>
      <c r="L469" s="169"/>
      <c r="M469" s="784"/>
      <c r="N469" s="170"/>
      <c r="O469" s="783"/>
      <c r="P469" s="143"/>
      <c r="Q469" s="173"/>
      <c r="R469" s="170"/>
      <c r="S469" s="170"/>
      <c r="T469" s="143"/>
      <c r="U469" s="173"/>
      <c r="V469" s="783"/>
      <c r="W469" s="169"/>
      <c r="X469" s="784"/>
      <c r="Y469" s="784"/>
      <c r="Z469" s="169"/>
      <c r="AA469" s="169"/>
      <c r="AB469" s="809"/>
      <c r="AC469" s="786"/>
      <c r="AD469" s="786"/>
      <c r="AE469" s="160"/>
      <c r="AF469" s="160"/>
      <c r="AG469" s="786"/>
      <c r="AH469" s="160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3"/>
      <c r="AU469" s="163"/>
      <c r="AV469" s="161"/>
      <c r="AW469" s="161"/>
    </row>
    <row r="470" spans="2:49" s="76" customFormat="1">
      <c r="B470" s="94"/>
      <c r="C470" s="146"/>
      <c r="D470" s="189"/>
      <c r="E470" s="170"/>
      <c r="F470" s="170"/>
      <c r="G470" s="170"/>
      <c r="H470" s="783"/>
      <c r="I470" s="143"/>
      <c r="J470" s="772"/>
      <c r="K470" s="170"/>
      <c r="L470" s="169"/>
      <c r="M470" s="784"/>
      <c r="N470" s="170"/>
      <c r="O470" s="783"/>
      <c r="P470" s="143"/>
      <c r="Q470" s="173"/>
      <c r="R470" s="170"/>
      <c r="S470" s="788"/>
      <c r="T470" s="788"/>
      <c r="U470" s="788"/>
      <c r="V470" s="788"/>
      <c r="W470" s="788"/>
      <c r="X470" s="788"/>
      <c r="Y470" s="788"/>
      <c r="Z470" s="788"/>
      <c r="AA470" s="788"/>
      <c r="AB470" s="810"/>
      <c r="AC470" s="786"/>
      <c r="AD470" s="786"/>
      <c r="AE470" s="160"/>
      <c r="AF470" s="160"/>
      <c r="AG470" s="786"/>
      <c r="AH470" s="160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3"/>
      <c r="AU470" s="163"/>
      <c r="AV470" s="161"/>
      <c r="AW470" s="161"/>
    </row>
    <row r="471" spans="2:49" s="76" customFormat="1" ht="24.95" customHeight="1">
      <c r="B471" s="94"/>
      <c r="C471" s="146"/>
      <c r="D471" s="189"/>
      <c r="E471" s="170"/>
      <c r="F471" s="170"/>
      <c r="G471" s="170"/>
      <c r="H471" s="783"/>
      <c r="I471" s="143"/>
      <c r="J471" s="772"/>
      <c r="K471" s="170"/>
      <c r="L471" s="169"/>
      <c r="M471" s="784"/>
      <c r="N471" s="170"/>
      <c r="O471" s="783"/>
      <c r="P471" s="143"/>
      <c r="Q471" s="173"/>
      <c r="R471" s="170"/>
      <c r="S471" s="170"/>
      <c r="T471" s="143"/>
      <c r="U471" s="173"/>
      <c r="V471" s="783"/>
      <c r="W471" s="169"/>
      <c r="X471" s="784"/>
      <c r="Y471" s="784"/>
      <c r="Z471" s="169"/>
      <c r="AA471" s="169"/>
      <c r="AB471" s="809"/>
      <c r="AC471" s="786"/>
      <c r="AD471" s="786"/>
      <c r="AE471" s="160"/>
      <c r="AF471" s="160"/>
      <c r="AG471" s="786"/>
      <c r="AH471" s="160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3"/>
      <c r="AU471" s="163"/>
      <c r="AV471" s="161"/>
      <c r="AW471" s="161"/>
    </row>
    <row r="472" spans="2:49" s="76" customFormat="1" ht="24.95" customHeight="1">
      <c r="B472" s="94"/>
      <c r="C472" s="146"/>
      <c r="D472" s="189"/>
      <c r="E472" s="170"/>
      <c r="F472" s="170"/>
      <c r="G472" s="170"/>
      <c r="H472" s="783"/>
      <c r="I472" s="143"/>
      <c r="J472" s="772"/>
      <c r="K472" s="170"/>
      <c r="L472" s="169"/>
      <c r="M472" s="784"/>
      <c r="N472" s="170"/>
      <c r="O472" s="783"/>
      <c r="P472" s="143"/>
      <c r="Q472" s="173"/>
      <c r="R472" s="170"/>
      <c r="S472" s="170"/>
      <c r="T472" s="143"/>
      <c r="U472" s="173"/>
      <c r="V472" s="783"/>
      <c r="W472" s="169"/>
      <c r="X472" s="784"/>
      <c r="Y472" s="784"/>
      <c r="Z472" s="169"/>
      <c r="AA472" s="169"/>
      <c r="AB472" s="811"/>
      <c r="AC472" s="786"/>
      <c r="AD472" s="786"/>
      <c r="AE472" s="160"/>
      <c r="AF472" s="160"/>
      <c r="AG472" s="786"/>
      <c r="AH472" s="160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3"/>
      <c r="AU472" s="163"/>
      <c r="AV472" s="161"/>
      <c r="AW472" s="161"/>
    </row>
    <row r="473" spans="2:49" s="76" customFormat="1" ht="24.95" customHeight="1">
      <c r="B473" s="94"/>
      <c r="C473" s="146"/>
      <c r="D473" s="189"/>
      <c r="E473" s="170"/>
      <c r="F473" s="170"/>
      <c r="G473" s="170"/>
      <c r="H473" s="783"/>
      <c r="I473" s="143"/>
      <c r="J473" s="772"/>
      <c r="K473" s="170"/>
      <c r="L473" s="169"/>
      <c r="M473" s="784"/>
      <c r="N473" s="170"/>
      <c r="O473" s="783"/>
      <c r="P473" s="143"/>
      <c r="Q473" s="173"/>
      <c r="R473" s="170"/>
      <c r="S473" s="170"/>
      <c r="T473" s="143"/>
      <c r="U473" s="173"/>
      <c r="V473" s="783"/>
      <c r="W473" s="169"/>
      <c r="X473" s="784"/>
      <c r="Y473" s="784"/>
      <c r="Z473" s="169"/>
      <c r="AA473" s="169"/>
      <c r="AB473" s="809"/>
      <c r="AC473" s="786"/>
      <c r="AD473" s="786"/>
      <c r="AE473" s="160"/>
      <c r="AF473" s="160"/>
      <c r="AG473" s="786"/>
      <c r="AH473" s="160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3"/>
      <c r="AU473" s="163"/>
      <c r="AV473" s="161"/>
      <c r="AW473" s="161"/>
    </row>
    <row r="474" spans="2:49" s="76" customFormat="1" ht="24.95" customHeight="1">
      <c r="B474" s="94"/>
      <c r="C474" s="146"/>
      <c r="D474" s="189"/>
      <c r="E474" s="170"/>
      <c r="F474" s="170"/>
      <c r="G474" s="170"/>
      <c r="H474" s="783"/>
      <c r="I474" s="143"/>
      <c r="J474" s="772"/>
      <c r="K474" s="170"/>
      <c r="L474" s="169"/>
      <c r="M474" s="784"/>
      <c r="N474" s="170"/>
      <c r="O474" s="783"/>
      <c r="P474" s="143"/>
      <c r="Q474" s="173"/>
      <c r="R474" s="170"/>
      <c r="S474" s="170"/>
      <c r="T474" s="143"/>
      <c r="U474" s="173"/>
      <c r="V474" s="783"/>
      <c r="W474" s="169"/>
      <c r="X474" s="784"/>
      <c r="Y474" s="784"/>
      <c r="Z474" s="169"/>
      <c r="AA474" s="169"/>
      <c r="AB474" s="811"/>
      <c r="AC474" s="786"/>
      <c r="AD474" s="786"/>
      <c r="AE474" s="160"/>
      <c r="AF474" s="160"/>
      <c r="AG474" s="786"/>
      <c r="AH474" s="160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3"/>
      <c r="AU474" s="163"/>
      <c r="AV474" s="161"/>
      <c r="AW474" s="161"/>
    </row>
    <row r="475" spans="2:49" s="76" customFormat="1" ht="24.95" customHeight="1">
      <c r="B475" s="94"/>
      <c r="C475" s="146"/>
      <c r="D475" s="189"/>
      <c r="E475" s="170"/>
      <c r="F475" s="170"/>
      <c r="G475" s="170"/>
      <c r="H475" s="783"/>
      <c r="I475" s="143"/>
      <c r="J475" s="772"/>
      <c r="K475" s="170"/>
      <c r="L475" s="169"/>
      <c r="M475" s="784"/>
      <c r="N475" s="170"/>
      <c r="O475" s="783"/>
      <c r="P475" s="143"/>
      <c r="Q475" s="173"/>
      <c r="R475" s="170"/>
      <c r="S475" s="170"/>
      <c r="T475" s="143"/>
      <c r="U475" s="173"/>
      <c r="V475" s="783"/>
      <c r="W475" s="169"/>
      <c r="X475" s="784"/>
      <c r="Y475" s="784"/>
      <c r="Z475" s="169"/>
      <c r="AA475" s="169"/>
      <c r="AB475" s="809"/>
      <c r="AC475" s="786"/>
      <c r="AD475" s="786"/>
      <c r="AE475" s="160"/>
      <c r="AF475" s="160"/>
      <c r="AG475" s="786"/>
      <c r="AH475" s="160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3"/>
      <c r="AU475" s="163"/>
      <c r="AV475" s="161"/>
      <c r="AW475" s="161"/>
    </row>
    <row r="476" spans="2:49" s="76" customFormat="1" ht="24.95" customHeight="1">
      <c r="B476" s="94"/>
      <c r="C476" s="146"/>
      <c r="D476" s="189"/>
      <c r="E476" s="170"/>
      <c r="F476" s="170"/>
      <c r="G476" s="170"/>
      <c r="H476" s="783"/>
      <c r="I476" s="143"/>
      <c r="J476" s="772"/>
      <c r="K476" s="170"/>
      <c r="L476" s="169"/>
      <c r="M476" s="784"/>
      <c r="N476" s="170"/>
      <c r="O476" s="783"/>
      <c r="P476" s="143"/>
      <c r="Q476" s="173"/>
      <c r="R476" s="170"/>
      <c r="S476" s="170"/>
      <c r="T476" s="143"/>
      <c r="U476" s="173"/>
      <c r="V476" s="783"/>
      <c r="W476" s="169"/>
      <c r="X476" s="784"/>
      <c r="Y476" s="784"/>
      <c r="Z476" s="169"/>
      <c r="AA476" s="169"/>
      <c r="AB476" s="809"/>
      <c r="AC476" s="786"/>
      <c r="AD476" s="786"/>
      <c r="AE476" s="160"/>
      <c r="AF476" s="160"/>
      <c r="AG476" s="786"/>
      <c r="AH476" s="160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3"/>
      <c r="AU476" s="163"/>
      <c r="AV476" s="161"/>
      <c r="AW476" s="161"/>
    </row>
    <row r="477" spans="2:49" s="76" customFormat="1" ht="24.95" customHeight="1">
      <c r="B477" s="94"/>
      <c r="C477" s="146"/>
      <c r="D477" s="189"/>
      <c r="E477" s="170"/>
      <c r="F477" s="170"/>
      <c r="G477" s="170"/>
      <c r="H477" s="783"/>
      <c r="I477" s="143"/>
      <c r="J477" s="772"/>
      <c r="K477" s="170"/>
      <c r="L477" s="169"/>
      <c r="M477" s="784"/>
      <c r="N477" s="170"/>
      <c r="O477" s="783"/>
      <c r="P477" s="143"/>
      <c r="Q477" s="173"/>
      <c r="R477" s="170"/>
      <c r="S477" s="170"/>
      <c r="T477" s="143"/>
      <c r="U477" s="173"/>
      <c r="V477" s="783"/>
      <c r="W477" s="169"/>
      <c r="X477" s="784"/>
      <c r="Y477" s="784"/>
      <c r="Z477" s="169"/>
      <c r="AA477" s="169"/>
      <c r="AB477" s="809"/>
      <c r="AC477" s="786"/>
      <c r="AD477" s="786"/>
      <c r="AE477" s="160"/>
      <c r="AF477" s="160"/>
      <c r="AG477" s="786"/>
      <c r="AH477" s="160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3"/>
      <c r="AU477" s="163"/>
      <c r="AV477" s="161"/>
      <c r="AW477" s="161"/>
    </row>
    <row r="478" spans="2:49" s="76" customFormat="1" ht="24.95" customHeight="1">
      <c r="B478" s="94"/>
      <c r="C478" s="146"/>
      <c r="D478" s="189"/>
      <c r="E478" s="170"/>
      <c r="F478" s="170"/>
      <c r="G478" s="170"/>
      <c r="H478" s="783"/>
      <c r="I478" s="143"/>
      <c r="J478" s="772"/>
      <c r="K478" s="170"/>
      <c r="L478" s="169"/>
      <c r="M478" s="784"/>
      <c r="N478" s="170"/>
      <c r="O478" s="783"/>
      <c r="P478" s="143"/>
      <c r="Q478" s="173"/>
      <c r="R478" s="170"/>
      <c r="S478" s="170"/>
      <c r="T478" s="143"/>
      <c r="U478" s="173"/>
      <c r="V478" s="783"/>
      <c r="W478" s="169"/>
      <c r="X478" s="784"/>
      <c r="Y478" s="784"/>
      <c r="Z478" s="169"/>
      <c r="AA478" s="169"/>
      <c r="AB478" s="809"/>
      <c r="AC478" s="786"/>
      <c r="AD478" s="786"/>
      <c r="AE478" s="160"/>
      <c r="AF478" s="160"/>
      <c r="AG478" s="786"/>
      <c r="AH478" s="160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3"/>
      <c r="AU478" s="163"/>
      <c r="AV478" s="161"/>
      <c r="AW478" s="161"/>
    </row>
    <row r="479" spans="2:49" s="76" customFormat="1" ht="24.95" customHeight="1">
      <c r="B479" s="94"/>
      <c r="C479" s="146"/>
      <c r="D479" s="189"/>
      <c r="E479" s="170"/>
      <c r="F479" s="170"/>
      <c r="G479" s="170"/>
      <c r="H479" s="783"/>
      <c r="I479" s="143"/>
      <c r="J479" s="772"/>
      <c r="K479" s="170"/>
      <c r="L479" s="169"/>
      <c r="M479" s="784"/>
      <c r="N479" s="170"/>
      <c r="O479" s="783"/>
      <c r="P479" s="143"/>
      <c r="Q479" s="173"/>
      <c r="R479" s="170"/>
      <c r="S479" s="170"/>
      <c r="T479" s="143"/>
      <c r="U479" s="173"/>
      <c r="V479" s="783"/>
      <c r="W479" s="169"/>
      <c r="X479" s="784"/>
      <c r="Y479" s="784"/>
      <c r="Z479" s="169"/>
      <c r="AA479" s="169"/>
      <c r="AB479" s="809"/>
      <c r="AC479" s="786"/>
      <c r="AD479" s="786"/>
      <c r="AE479" s="160"/>
      <c r="AF479" s="160"/>
      <c r="AG479" s="786"/>
      <c r="AH479" s="160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3"/>
      <c r="AU479" s="163"/>
      <c r="AV479" s="161"/>
      <c r="AW479" s="161"/>
    </row>
    <row r="480" spans="2:49" s="76" customFormat="1" ht="24.95" customHeight="1">
      <c r="B480" s="94"/>
      <c r="C480" s="146"/>
      <c r="D480" s="189"/>
      <c r="E480" s="170"/>
      <c r="F480" s="170"/>
      <c r="G480" s="170"/>
      <c r="H480" s="783"/>
      <c r="I480" s="143"/>
      <c r="J480" s="772"/>
      <c r="K480" s="170"/>
      <c r="L480" s="169"/>
      <c r="M480" s="784"/>
      <c r="N480" s="170"/>
      <c r="O480" s="783"/>
      <c r="P480" s="143"/>
      <c r="Q480" s="173"/>
      <c r="R480" s="170"/>
      <c r="S480" s="170"/>
      <c r="T480" s="143"/>
      <c r="U480" s="173"/>
      <c r="V480" s="783"/>
      <c r="W480" s="169"/>
      <c r="X480" s="784"/>
      <c r="Y480" s="784"/>
      <c r="Z480" s="169"/>
      <c r="AA480" s="169"/>
      <c r="AB480" s="809"/>
      <c r="AC480" s="786"/>
      <c r="AD480" s="786"/>
      <c r="AE480" s="160"/>
      <c r="AF480" s="160"/>
      <c r="AG480" s="786"/>
      <c r="AH480" s="160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3"/>
      <c r="AU480" s="163"/>
      <c r="AV480" s="161"/>
      <c r="AW480" s="161"/>
    </row>
    <row r="481" spans="2:49" s="76" customFormat="1" ht="24.95" customHeight="1">
      <c r="B481" s="94"/>
      <c r="C481" s="146"/>
      <c r="D481" s="189"/>
      <c r="E481" s="170"/>
      <c r="F481" s="170"/>
      <c r="G481" s="170"/>
      <c r="H481" s="783"/>
      <c r="I481" s="143"/>
      <c r="J481" s="772"/>
      <c r="K481" s="170"/>
      <c r="L481" s="169"/>
      <c r="M481" s="784"/>
      <c r="N481" s="170"/>
      <c r="O481" s="783"/>
      <c r="P481" s="143"/>
      <c r="Q481" s="173"/>
      <c r="R481" s="170"/>
      <c r="S481" s="170"/>
      <c r="T481" s="143"/>
      <c r="U481" s="173"/>
      <c r="V481" s="783"/>
      <c r="W481" s="169"/>
      <c r="X481" s="784"/>
      <c r="Y481" s="784"/>
      <c r="Z481" s="169"/>
      <c r="AA481" s="169"/>
      <c r="AB481" s="809"/>
      <c r="AC481" s="786"/>
      <c r="AD481" s="786"/>
      <c r="AE481" s="160"/>
      <c r="AF481" s="160"/>
      <c r="AG481" s="786"/>
      <c r="AH481" s="160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3"/>
      <c r="AU481" s="163"/>
      <c r="AV481" s="161"/>
      <c r="AW481" s="161"/>
    </row>
    <row r="482" spans="2:49" s="76" customFormat="1" ht="24.95" customHeight="1">
      <c r="B482" s="94"/>
      <c r="C482" s="146"/>
      <c r="D482" s="189"/>
      <c r="E482" s="170"/>
      <c r="F482" s="170"/>
      <c r="G482" s="170"/>
      <c r="H482" s="783"/>
      <c r="I482" s="143"/>
      <c r="J482" s="772"/>
      <c r="K482" s="170"/>
      <c r="L482" s="169"/>
      <c r="M482" s="784"/>
      <c r="N482" s="170"/>
      <c r="O482" s="783"/>
      <c r="P482" s="143"/>
      <c r="Q482" s="173"/>
      <c r="R482" s="170"/>
      <c r="S482" s="170"/>
      <c r="T482" s="143"/>
      <c r="U482" s="173"/>
      <c r="V482" s="783"/>
      <c r="W482" s="169"/>
      <c r="X482" s="784"/>
      <c r="Y482" s="784"/>
      <c r="Z482" s="169"/>
      <c r="AA482" s="169"/>
      <c r="AB482" s="809"/>
      <c r="AC482" s="786"/>
      <c r="AD482" s="786"/>
      <c r="AE482" s="160"/>
      <c r="AF482" s="160"/>
      <c r="AG482" s="786"/>
      <c r="AH482" s="160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3"/>
      <c r="AU482" s="163"/>
      <c r="AV482" s="161"/>
      <c r="AW482" s="161"/>
    </row>
    <row r="483" spans="2:49" s="76" customFormat="1" ht="24.95" customHeight="1">
      <c r="B483" s="94"/>
      <c r="C483" s="146"/>
      <c r="D483" s="189"/>
      <c r="E483" s="170"/>
      <c r="F483" s="170"/>
      <c r="G483" s="170"/>
      <c r="H483" s="783"/>
      <c r="I483" s="143"/>
      <c r="J483" s="772"/>
      <c r="K483" s="170"/>
      <c r="L483" s="169"/>
      <c r="M483" s="784"/>
      <c r="N483" s="170"/>
      <c r="O483" s="783"/>
      <c r="P483" s="143"/>
      <c r="Q483" s="173"/>
      <c r="R483" s="170"/>
      <c r="S483" s="170"/>
      <c r="T483" s="143"/>
      <c r="U483" s="173"/>
      <c r="V483" s="783"/>
      <c r="W483" s="169"/>
      <c r="X483" s="784"/>
      <c r="Y483" s="784"/>
      <c r="Z483" s="169"/>
      <c r="AA483" s="169"/>
      <c r="AB483" s="809"/>
      <c r="AC483" s="786"/>
      <c r="AD483" s="786"/>
      <c r="AE483" s="160"/>
      <c r="AF483" s="160"/>
      <c r="AG483" s="786"/>
      <c r="AH483" s="160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3"/>
      <c r="AU483" s="163"/>
      <c r="AV483" s="161"/>
      <c r="AW483" s="161"/>
    </row>
    <row r="484" spans="2:49" s="76" customFormat="1" ht="24.95" customHeight="1">
      <c r="B484" s="94"/>
      <c r="C484" s="146"/>
      <c r="D484" s="189"/>
      <c r="E484" s="170"/>
      <c r="F484" s="170"/>
      <c r="G484" s="170"/>
      <c r="H484" s="783"/>
      <c r="I484" s="143"/>
      <c r="J484" s="772"/>
      <c r="K484" s="170"/>
      <c r="L484" s="169"/>
      <c r="M484" s="784"/>
      <c r="N484" s="170"/>
      <c r="O484" s="783"/>
      <c r="P484" s="143"/>
      <c r="Q484" s="173"/>
      <c r="R484" s="170"/>
      <c r="S484" s="170"/>
      <c r="T484" s="143"/>
      <c r="U484" s="173"/>
      <c r="V484" s="783"/>
      <c r="W484" s="169"/>
      <c r="X484" s="784"/>
      <c r="Y484" s="784"/>
      <c r="Z484" s="169"/>
      <c r="AA484" s="169"/>
      <c r="AB484" s="809"/>
      <c r="AC484" s="786"/>
      <c r="AD484" s="786"/>
      <c r="AE484" s="160"/>
      <c r="AF484" s="160"/>
      <c r="AG484" s="786"/>
      <c r="AH484" s="160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3"/>
      <c r="AU484" s="163"/>
      <c r="AV484" s="161"/>
      <c r="AW484" s="161"/>
    </row>
    <row r="485" spans="2:49" s="76" customFormat="1">
      <c r="B485" s="94"/>
      <c r="C485" s="146"/>
      <c r="D485" s="189"/>
      <c r="E485" s="170"/>
      <c r="F485" s="170"/>
      <c r="G485" s="170"/>
      <c r="H485" s="783"/>
      <c r="I485" s="143"/>
      <c r="J485" s="772"/>
      <c r="K485" s="170"/>
      <c r="L485" s="169"/>
      <c r="M485" s="784"/>
      <c r="N485" s="170"/>
      <c r="O485" s="783"/>
      <c r="P485" s="143"/>
      <c r="Q485" s="173"/>
      <c r="R485" s="170"/>
      <c r="T485" s="143"/>
      <c r="U485" s="173"/>
      <c r="V485" s="783"/>
      <c r="W485" s="169"/>
      <c r="X485" s="784"/>
      <c r="Y485" s="784"/>
      <c r="Z485" s="169"/>
      <c r="AA485" s="169"/>
      <c r="AB485" s="809"/>
      <c r="AC485" s="786"/>
      <c r="AD485" s="786"/>
      <c r="AE485" s="160"/>
      <c r="AF485" s="160"/>
      <c r="AG485" s="786"/>
      <c r="AH485" s="160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3"/>
      <c r="AU485" s="163"/>
      <c r="AV485" s="161"/>
      <c r="AW485" s="161"/>
    </row>
    <row r="486" spans="2:49" s="76" customFormat="1" ht="24.95" customHeight="1">
      <c r="B486" s="94"/>
      <c r="C486" s="146"/>
      <c r="D486" s="189"/>
      <c r="E486" s="170"/>
      <c r="F486" s="170"/>
      <c r="G486" s="170"/>
      <c r="H486" s="783"/>
      <c r="I486" s="143"/>
      <c r="J486" s="772"/>
      <c r="K486" s="170"/>
      <c r="L486" s="169"/>
      <c r="M486" s="784"/>
      <c r="N486" s="170"/>
      <c r="O486" s="783"/>
      <c r="P486" s="143"/>
      <c r="Q486" s="173"/>
      <c r="R486" s="170"/>
      <c r="S486" s="170"/>
      <c r="T486" s="143"/>
      <c r="U486" s="173"/>
      <c r="V486" s="783"/>
      <c r="W486" s="169"/>
      <c r="X486" s="784"/>
      <c r="Y486" s="784"/>
      <c r="Z486" s="169"/>
      <c r="AA486" s="169"/>
      <c r="AB486" s="809"/>
      <c r="AC486" s="786"/>
      <c r="AD486" s="786"/>
      <c r="AE486" s="160"/>
      <c r="AF486" s="160"/>
      <c r="AG486" s="786"/>
      <c r="AH486" s="160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3"/>
      <c r="AU486" s="163"/>
      <c r="AV486" s="161"/>
      <c r="AW486" s="161"/>
    </row>
    <row r="487" spans="2:49" s="78" customFormat="1" ht="24.95" customHeight="1">
      <c r="B487" s="94"/>
      <c r="C487" s="146"/>
      <c r="D487" s="189"/>
      <c r="E487" s="170"/>
      <c r="F487" s="170"/>
      <c r="G487" s="170"/>
      <c r="H487" s="783"/>
      <c r="I487" s="143"/>
      <c r="J487" s="772"/>
      <c r="K487" s="170"/>
      <c r="L487" s="169"/>
      <c r="M487" s="784"/>
      <c r="N487" s="170"/>
      <c r="O487" s="783"/>
      <c r="P487" s="143"/>
      <c r="Q487" s="173"/>
      <c r="R487" s="170"/>
      <c r="S487" s="170"/>
      <c r="T487" s="143"/>
      <c r="U487" s="173"/>
      <c r="V487" s="783"/>
      <c r="W487" s="169"/>
      <c r="X487" s="784"/>
      <c r="Y487" s="784"/>
      <c r="Z487" s="169"/>
      <c r="AA487" s="169"/>
      <c r="AB487" s="809"/>
      <c r="AC487" s="786"/>
      <c r="AD487" s="786"/>
      <c r="AE487" s="160"/>
      <c r="AF487" s="160"/>
      <c r="AG487" s="786"/>
      <c r="AH487" s="160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3"/>
      <c r="AU487" s="163"/>
      <c r="AV487" s="161"/>
      <c r="AW487" s="161"/>
    </row>
    <row r="488" spans="2:49" s="66" customFormat="1" ht="38.25">
      <c r="B488" s="63"/>
      <c r="C488" s="147"/>
      <c r="D488" s="186"/>
      <c r="E488" s="167"/>
      <c r="F488" s="167"/>
      <c r="G488" s="167"/>
      <c r="H488" s="715"/>
      <c r="I488" s="167"/>
      <c r="J488" s="715"/>
      <c r="K488" s="167"/>
      <c r="L488" s="167"/>
      <c r="M488" s="715"/>
      <c r="N488" s="167"/>
      <c r="O488" s="715"/>
      <c r="P488" s="167"/>
      <c r="Q488" s="167"/>
      <c r="R488" s="167"/>
      <c r="S488" s="167"/>
      <c r="T488" s="167"/>
      <c r="U488" s="167"/>
      <c r="V488" s="715"/>
      <c r="W488" s="167"/>
      <c r="X488" s="715"/>
      <c r="Y488" s="715"/>
      <c r="Z488" s="167"/>
      <c r="AA488" s="167"/>
      <c r="AB488" s="792"/>
      <c r="AC488" s="789"/>
      <c r="AD488" s="789"/>
      <c r="AE488" s="149"/>
      <c r="AF488" s="149"/>
      <c r="AG488" s="789"/>
      <c r="AH488" s="149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</row>
    <row r="489" spans="2:49" s="66" customFormat="1" ht="38.25">
      <c r="B489" s="63"/>
      <c r="C489" s="147"/>
      <c r="D489" s="186"/>
      <c r="E489" s="167"/>
      <c r="F489" s="167"/>
      <c r="G489" s="167"/>
      <c r="H489" s="715"/>
      <c r="I489" s="167"/>
      <c r="J489" s="715"/>
      <c r="K489" s="167"/>
      <c r="L489" s="167"/>
      <c r="M489" s="715"/>
      <c r="N489" s="167"/>
      <c r="O489" s="715"/>
      <c r="P489" s="167"/>
      <c r="Q489" s="167"/>
      <c r="R489" s="167"/>
      <c r="T489" s="167"/>
      <c r="U489" s="167"/>
      <c r="V489" s="715"/>
      <c r="W489" s="167"/>
      <c r="X489" s="715"/>
      <c r="Y489" s="715"/>
      <c r="Z489" s="167"/>
      <c r="AA489" s="167"/>
      <c r="AB489" s="792"/>
      <c r="AC489" s="789"/>
      <c r="AD489" s="789"/>
      <c r="AE489" s="149"/>
      <c r="AF489" s="149"/>
      <c r="AG489" s="789"/>
      <c r="AH489" s="149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</row>
    <row r="490" spans="2:49" s="66" customFormat="1" ht="38.25">
      <c r="B490" s="63"/>
      <c r="C490" s="147"/>
      <c r="D490" s="186"/>
      <c r="E490" s="167"/>
      <c r="F490" s="167"/>
      <c r="G490" s="167"/>
      <c r="H490" s="715"/>
      <c r="I490" s="167"/>
      <c r="J490" s="715"/>
      <c r="K490" s="167"/>
      <c r="L490" s="167"/>
      <c r="M490" s="715"/>
      <c r="N490" s="167"/>
      <c r="O490" s="715"/>
      <c r="P490" s="167"/>
      <c r="Q490" s="167"/>
      <c r="R490" s="167"/>
      <c r="S490" s="167"/>
      <c r="T490" s="167"/>
      <c r="U490" s="167"/>
      <c r="V490" s="715"/>
      <c r="W490" s="167"/>
      <c r="X490" s="715"/>
      <c r="Y490" s="715"/>
      <c r="Z490" s="167"/>
      <c r="AA490" s="167"/>
      <c r="AB490" s="792"/>
      <c r="AC490" s="789"/>
      <c r="AD490" s="789"/>
      <c r="AE490" s="149"/>
      <c r="AF490" s="149"/>
      <c r="AG490" s="789"/>
      <c r="AH490" s="149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</row>
    <row r="491" spans="2:49" s="64" customFormat="1">
      <c r="B491" s="63"/>
      <c r="C491" s="147"/>
      <c r="D491" s="186"/>
      <c r="E491" s="167"/>
      <c r="F491" s="167"/>
      <c r="G491" s="167"/>
      <c r="H491" s="715"/>
      <c r="I491" s="167"/>
      <c r="J491" s="715"/>
      <c r="K491" s="167"/>
      <c r="L491" s="167"/>
      <c r="M491" s="715"/>
      <c r="N491" s="167"/>
      <c r="O491" s="715"/>
      <c r="P491" s="167"/>
      <c r="Q491" s="167"/>
      <c r="R491" s="167"/>
      <c r="S491" s="167"/>
      <c r="T491" s="167"/>
      <c r="U491" s="167"/>
      <c r="V491" s="715"/>
      <c r="W491" s="167"/>
      <c r="X491" s="715"/>
      <c r="Y491" s="715"/>
      <c r="Z491" s="167"/>
      <c r="AA491" s="167"/>
      <c r="AB491" s="792"/>
      <c r="AC491" s="789"/>
      <c r="AD491" s="789"/>
      <c r="AE491" s="149"/>
      <c r="AF491" s="149"/>
      <c r="AG491" s="789"/>
      <c r="AH491" s="149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</row>
    <row r="492" spans="2:49" s="64" customFormat="1">
      <c r="B492" s="63"/>
      <c r="C492" s="147"/>
      <c r="D492" s="186"/>
      <c r="E492" s="167"/>
      <c r="F492" s="167"/>
      <c r="G492" s="167"/>
      <c r="H492" s="715"/>
      <c r="I492" s="167"/>
      <c r="J492" s="715"/>
      <c r="K492" s="167"/>
      <c r="L492" s="167"/>
      <c r="M492" s="715"/>
      <c r="N492" s="167"/>
      <c r="O492" s="715"/>
      <c r="P492" s="167"/>
      <c r="Q492" s="167"/>
      <c r="R492" s="167"/>
      <c r="S492" s="167"/>
      <c r="T492" s="167"/>
      <c r="U492" s="167"/>
      <c r="V492" s="715"/>
      <c r="W492" s="167"/>
      <c r="X492" s="715"/>
      <c r="Y492" s="715"/>
      <c r="Z492" s="167"/>
      <c r="AA492" s="167"/>
      <c r="AB492" s="792"/>
      <c r="AC492" s="789"/>
      <c r="AD492" s="789"/>
      <c r="AE492" s="149"/>
      <c r="AF492" s="149"/>
      <c r="AG492" s="789"/>
      <c r="AH492" s="149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</row>
    <row r="493" spans="2:49" s="64" customFormat="1">
      <c r="B493" s="63"/>
      <c r="C493" s="147"/>
      <c r="D493" s="186"/>
      <c r="E493" s="167"/>
      <c r="F493" s="167"/>
      <c r="G493" s="167"/>
      <c r="H493" s="715"/>
      <c r="I493" s="167"/>
      <c r="J493" s="715"/>
      <c r="K493" s="167"/>
      <c r="L493" s="167"/>
      <c r="M493" s="715"/>
      <c r="N493" s="167"/>
      <c r="O493" s="715"/>
      <c r="P493" s="167"/>
      <c r="Q493" s="167"/>
      <c r="R493" s="167"/>
      <c r="S493" s="167"/>
      <c r="T493" s="167"/>
      <c r="U493" s="167"/>
      <c r="V493" s="715"/>
      <c r="W493" s="167"/>
      <c r="X493" s="715"/>
      <c r="Y493" s="715"/>
      <c r="Z493" s="167"/>
      <c r="AA493" s="167"/>
      <c r="AB493" s="792"/>
      <c r="AC493" s="789"/>
      <c r="AD493" s="789"/>
      <c r="AE493" s="149"/>
      <c r="AF493" s="149"/>
      <c r="AG493" s="789"/>
      <c r="AH493" s="149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</row>
    <row r="494" spans="2:49" s="64" customFormat="1">
      <c r="B494" s="63"/>
      <c r="C494" s="147"/>
      <c r="D494" s="186"/>
      <c r="E494" s="167"/>
      <c r="F494" s="167"/>
      <c r="G494" s="167"/>
      <c r="H494" s="715"/>
      <c r="I494" s="167"/>
      <c r="J494" s="715"/>
      <c r="K494" s="167"/>
      <c r="L494" s="167"/>
      <c r="M494" s="715"/>
      <c r="N494" s="167"/>
      <c r="O494" s="715"/>
      <c r="P494" s="167"/>
      <c r="Q494" s="167"/>
      <c r="R494" s="167"/>
      <c r="S494" s="167"/>
      <c r="T494" s="167"/>
      <c r="U494" s="167"/>
      <c r="V494" s="715"/>
      <c r="W494" s="167"/>
      <c r="X494" s="715"/>
      <c r="Y494" s="715"/>
      <c r="Z494" s="167"/>
      <c r="AA494" s="167"/>
      <c r="AB494" s="792"/>
      <c r="AC494" s="789"/>
      <c r="AD494" s="789"/>
      <c r="AE494" s="149"/>
      <c r="AF494" s="149"/>
      <c r="AG494" s="789"/>
      <c r="AH494" s="149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</row>
    <row r="495" spans="2:49" s="64" customFormat="1">
      <c r="B495" s="63"/>
      <c r="C495" s="147"/>
      <c r="D495" s="186"/>
      <c r="E495" s="167"/>
      <c r="F495" s="167"/>
      <c r="G495" s="167"/>
      <c r="H495" s="715"/>
      <c r="I495" s="167"/>
      <c r="J495" s="715"/>
      <c r="K495" s="167"/>
      <c r="L495" s="167"/>
      <c r="M495" s="715"/>
      <c r="N495" s="167"/>
      <c r="O495" s="715"/>
      <c r="P495" s="167"/>
      <c r="Q495" s="167"/>
      <c r="R495" s="167"/>
      <c r="S495" s="167"/>
      <c r="T495" s="167"/>
      <c r="U495" s="167"/>
      <c r="V495" s="715"/>
      <c r="W495" s="167"/>
      <c r="X495" s="715"/>
      <c r="Y495" s="715"/>
      <c r="Z495" s="167"/>
      <c r="AA495" s="167"/>
      <c r="AB495" s="792"/>
      <c r="AC495" s="789"/>
      <c r="AD495" s="789"/>
      <c r="AE495" s="149"/>
      <c r="AF495" s="149"/>
      <c r="AG495" s="789"/>
      <c r="AH495" s="149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</row>
    <row r="496" spans="2:49" s="64" customFormat="1">
      <c r="B496" s="63"/>
      <c r="C496" s="147"/>
      <c r="D496" s="186"/>
      <c r="E496" s="167"/>
      <c r="F496" s="167"/>
      <c r="G496" s="167"/>
      <c r="H496" s="715"/>
      <c r="I496" s="167"/>
      <c r="J496" s="715"/>
      <c r="K496" s="167"/>
      <c r="L496" s="167"/>
      <c r="M496" s="715"/>
      <c r="N496" s="167"/>
      <c r="O496" s="715"/>
      <c r="P496" s="167"/>
      <c r="Q496" s="167"/>
      <c r="R496" s="167"/>
      <c r="S496" s="167"/>
      <c r="T496" s="167"/>
      <c r="U496" s="167"/>
      <c r="V496" s="715"/>
      <c r="W496" s="167"/>
      <c r="X496" s="715"/>
      <c r="Y496" s="715"/>
      <c r="Z496" s="167"/>
      <c r="AA496" s="167"/>
      <c r="AB496" s="792"/>
      <c r="AC496" s="789"/>
      <c r="AD496" s="789"/>
      <c r="AE496" s="149"/>
      <c r="AF496" s="149"/>
      <c r="AG496" s="789"/>
      <c r="AH496" s="149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</row>
    <row r="497" spans="2:49" s="64" customFormat="1">
      <c r="B497" s="63"/>
      <c r="C497" s="147"/>
      <c r="D497" s="186"/>
      <c r="E497" s="167"/>
      <c r="F497" s="167"/>
      <c r="G497" s="167"/>
      <c r="H497" s="715"/>
      <c r="I497" s="167"/>
      <c r="J497" s="715"/>
      <c r="K497" s="167"/>
      <c r="L497" s="167"/>
      <c r="M497" s="715"/>
      <c r="N497" s="167"/>
      <c r="O497" s="715"/>
      <c r="P497" s="167"/>
      <c r="Q497" s="167"/>
      <c r="R497" s="167"/>
      <c r="S497" s="167"/>
      <c r="T497" s="167"/>
      <c r="U497" s="167"/>
      <c r="V497" s="715"/>
      <c r="W497" s="167"/>
      <c r="X497" s="715"/>
      <c r="Y497" s="715"/>
      <c r="Z497" s="167"/>
      <c r="AA497" s="167"/>
      <c r="AB497" s="792"/>
      <c r="AC497" s="789"/>
      <c r="AD497" s="789"/>
      <c r="AE497" s="149"/>
      <c r="AF497" s="149"/>
      <c r="AG497" s="789"/>
      <c r="AH497" s="149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</row>
    <row r="498" spans="2:49" s="64" customFormat="1">
      <c r="B498" s="63"/>
      <c r="C498" s="147"/>
      <c r="D498" s="186"/>
      <c r="E498" s="167"/>
      <c r="F498" s="167"/>
      <c r="G498" s="167"/>
      <c r="H498" s="715"/>
      <c r="I498" s="167"/>
      <c r="J498" s="715"/>
      <c r="K498" s="167"/>
      <c r="L498" s="167"/>
      <c r="M498" s="715"/>
      <c r="N498" s="167"/>
      <c r="O498" s="715"/>
      <c r="P498" s="167"/>
      <c r="Q498" s="167"/>
      <c r="R498" s="167"/>
      <c r="S498" s="167"/>
      <c r="T498" s="167"/>
      <c r="U498" s="167"/>
      <c r="V498" s="715"/>
      <c r="W498" s="167"/>
      <c r="X498" s="715"/>
      <c r="Y498" s="715"/>
      <c r="Z498" s="167"/>
      <c r="AA498" s="167"/>
      <c r="AB498" s="792"/>
      <c r="AC498" s="789"/>
      <c r="AD498" s="789"/>
      <c r="AE498" s="149"/>
      <c r="AF498" s="149"/>
      <c r="AG498" s="789"/>
      <c r="AH498" s="149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</row>
    <row r="499" spans="2:49" s="64" customFormat="1">
      <c r="B499" s="63"/>
      <c r="C499" s="147"/>
      <c r="D499" s="186"/>
      <c r="E499" s="167"/>
      <c r="F499" s="167"/>
      <c r="G499" s="167"/>
      <c r="H499" s="715"/>
      <c r="I499" s="167"/>
      <c r="J499" s="715"/>
      <c r="K499" s="167"/>
      <c r="L499" s="167"/>
      <c r="M499" s="715"/>
      <c r="N499" s="167"/>
      <c r="O499" s="715"/>
      <c r="P499" s="167"/>
      <c r="Q499" s="167"/>
      <c r="R499" s="167"/>
      <c r="S499" s="167"/>
      <c r="T499" s="167"/>
      <c r="U499" s="167"/>
      <c r="V499" s="715"/>
      <c r="W499" s="167"/>
      <c r="X499" s="715"/>
      <c r="Y499" s="715"/>
      <c r="Z499" s="167"/>
      <c r="AA499" s="167"/>
      <c r="AB499" s="792"/>
      <c r="AC499" s="789"/>
      <c r="AD499" s="789"/>
      <c r="AE499" s="149"/>
      <c r="AF499" s="149"/>
      <c r="AG499" s="789"/>
      <c r="AH499" s="149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</row>
    <row r="500" spans="2:49" s="64" customFormat="1">
      <c r="B500" s="63"/>
      <c r="C500" s="147"/>
      <c r="D500" s="186"/>
      <c r="E500" s="167"/>
      <c r="F500" s="167"/>
      <c r="G500" s="167"/>
      <c r="H500" s="715"/>
      <c r="I500" s="167"/>
      <c r="J500" s="715"/>
      <c r="K500" s="167"/>
      <c r="L500" s="167"/>
      <c r="M500" s="715"/>
      <c r="N500" s="167"/>
      <c r="O500" s="715"/>
      <c r="P500" s="167"/>
      <c r="Q500" s="167"/>
      <c r="R500" s="167"/>
      <c r="S500" s="167"/>
      <c r="T500" s="167"/>
      <c r="U500" s="167"/>
      <c r="V500" s="715"/>
      <c r="W500" s="167"/>
      <c r="X500" s="715"/>
      <c r="Y500" s="715"/>
      <c r="Z500" s="167"/>
      <c r="AA500" s="167"/>
      <c r="AB500" s="792"/>
      <c r="AC500" s="789"/>
      <c r="AD500" s="789"/>
      <c r="AE500" s="149"/>
      <c r="AF500" s="149"/>
      <c r="AG500" s="789"/>
      <c r="AH500" s="149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</row>
    <row r="501" spans="2:49" s="64" customFormat="1">
      <c r="B501" s="63"/>
      <c r="C501" s="147"/>
      <c r="D501" s="186"/>
      <c r="E501" s="167"/>
      <c r="F501" s="167"/>
      <c r="G501" s="167"/>
      <c r="H501" s="715"/>
      <c r="I501" s="167"/>
      <c r="J501" s="715"/>
      <c r="K501" s="167"/>
      <c r="L501" s="167"/>
      <c r="M501" s="715"/>
      <c r="N501" s="167"/>
      <c r="O501" s="715"/>
      <c r="P501" s="167"/>
      <c r="Q501" s="167"/>
      <c r="R501" s="167"/>
      <c r="S501" s="174"/>
      <c r="T501" s="167"/>
      <c r="U501" s="167"/>
      <c r="V501" s="715"/>
      <c r="W501" s="167"/>
      <c r="X501" s="715"/>
      <c r="Y501" s="715"/>
      <c r="Z501" s="167"/>
      <c r="AA501" s="167"/>
      <c r="AB501" s="792"/>
      <c r="AC501" s="789"/>
      <c r="AD501" s="789"/>
      <c r="AE501" s="149"/>
      <c r="AF501" s="149"/>
      <c r="AG501" s="789"/>
      <c r="AH501" s="149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</row>
    <row r="502" spans="2:49" s="64" customFormat="1">
      <c r="B502" s="63"/>
      <c r="C502" s="147"/>
      <c r="D502" s="186"/>
      <c r="E502" s="167"/>
      <c r="F502" s="167"/>
      <c r="G502" s="167"/>
      <c r="H502" s="715"/>
      <c r="I502" s="167"/>
      <c r="J502" s="715"/>
      <c r="K502" s="167"/>
      <c r="L502" s="167"/>
      <c r="M502" s="715"/>
      <c r="N502" s="167"/>
      <c r="O502" s="715"/>
      <c r="P502" s="167"/>
      <c r="Q502" s="167"/>
      <c r="R502" s="167"/>
      <c r="S502" s="167"/>
      <c r="T502" s="167"/>
      <c r="U502" s="167"/>
      <c r="V502" s="715"/>
      <c r="W502" s="167"/>
      <c r="X502" s="715"/>
      <c r="Y502" s="715"/>
      <c r="Z502" s="167"/>
      <c r="AA502" s="167"/>
      <c r="AB502" s="792"/>
      <c r="AC502" s="789"/>
      <c r="AD502" s="789"/>
      <c r="AE502" s="149"/>
      <c r="AF502" s="149"/>
      <c r="AG502" s="789"/>
      <c r="AH502" s="149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</row>
    <row r="503" spans="2:49" s="64" customFormat="1">
      <c r="B503" s="63"/>
      <c r="C503" s="147"/>
      <c r="D503" s="186"/>
      <c r="E503" s="167"/>
      <c r="F503" s="167"/>
      <c r="G503" s="167"/>
      <c r="H503" s="715"/>
      <c r="I503" s="167"/>
      <c r="J503" s="715"/>
      <c r="K503" s="167"/>
      <c r="L503" s="167"/>
      <c r="M503" s="715"/>
      <c r="N503" s="167"/>
      <c r="O503" s="715"/>
      <c r="P503" s="167"/>
      <c r="Q503" s="167"/>
      <c r="R503" s="167"/>
      <c r="S503" s="167"/>
      <c r="T503" s="167"/>
      <c r="U503" s="167"/>
      <c r="V503" s="715"/>
      <c r="W503" s="167"/>
      <c r="X503" s="715"/>
      <c r="Y503" s="715"/>
      <c r="Z503" s="167"/>
      <c r="AA503" s="167"/>
      <c r="AB503" s="792"/>
      <c r="AC503" s="789"/>
      <c r="AD503" s="789"/>
      <c r="AE503" s="149"/>
      <c r="AF503" s="149"/>
      <c r="AG503" s="789"/>
      <c r="AH503" s="149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</row>
    <row r="504" spans="2:49" s="64" customFormat="1">
      <c r="B504" s="63"/>
      <c r="C504" s="147"/>
      <c r="D504" s="186"/>
      <c r="E504" s="167"/>
      <c r="F504" s="167"/>
      <c r="G504" s="167"/>
      <c r="H504" s="715"/>
      <c r="I504" s="167"/>
      <c r="J504" s="715"/>
      <c r="K504" s="167"/>
      <c r="L504" s="167"/>
      <c r="M504" s="715"/>
      <c r="N504" s="167"/>
      <c r="O504" s="715"/>
      <c r="P504" s="167"/>
      <c r="Q504" s="167"/>
      <c r="R504" s="167"/>
      <c r="S504" s="167"/>
      <c r="T504" s="167"/>
      <c r="U504" s="167"/>
      <c r="V504" s="715"/>
      <c r="W504" s="167"/>
      <c r="X504" s="715"/>
      <c r="Y504" s="715"/>
      <c r="Z504" s="167"/>
      <c r="AA504" s="167"/>
      <c r="AB504" s="792"/>
      <c r="AC504" s="789"/>
      <c r="AD504" s="789"/>
      <c r="AE504" s="149"/>
      <c r="AF504" s="149"/>
      <c r="AG504" s="789"/>
      <c r="AH504" s="149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</row>
    <row r="505" spans="2:49" s="64" customFormat="1">
      <c r="B505" s="63"/>
      <c r="C505" s="147"/>
      <c r="D505" s="186"/>
      <c r="E505" s="167"/>
      <c r="F505" s="167"/>
      <c r="G505" s="167"/>
      <c r="H505" s="715"/>
      <c r="I505" s="167"/>
      <c r="J505" s="715"/>
      <c r="K505" s="167"/>
      <c r="L505" s="167"/>
      <c r="M505" s="715"/>
      <c r="N505" s="167"/>
      <c r="O505" s="715"/>
      <c r="P505" s="167"/>
      <c r="Q505" s="167"/>
      <c r="R505" s="167"/>
      <c r="S505" s="167"/>
      <c r="T505" s="167"/>
      <c r="U505" s="167"/>
      <c r="V505" s="715"/>
      <c r="W505" s="167"/>
      <c r="X505" s="715"/>
      <c r="Y505" s="715"/>
      <c r="Z505" s="167"/>
      <c r="AA505" s="167"/>
      <c r="AB505" s="792"/>
      <c r="AC505" s="789"/>
      <c r="AD505" s="789"/>
      <c r="AE505" s="149"/>
      <c r="AF505" s="149"/>
      <c r="AG505" s="789"/>
      <c r="AH505" s="149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</row>
    <row r="506" spans="2:49" s="64" customFormat="1">
      <c r="B506" s="63"/>
      <c r="C506" s="147"/>
      <c r="D506" s="186"/>
      <c r="E506" s="167"/>
      <c r="F506" s="167"/>
      <c r="G506" s="167"/>
      <c r="H506" s="715"/>
      <c r="I506" s="167"/>
      <c r="J506" s="715"/>
      <c r="K506" s="167"/>
      <c r="L506" s="167"/>
      <c r="M506" s="715"/>
      <c r="N506" s="167"/>
      <c r="O506" s="715"/>
      <c r="P506" s="167"/>
      <c r="Q506" s="167"/>
      <c r="R506" s="167"/>
      <c r="S506" s="167"/>
      <c r="T506" s="167"/>
      <c r="U506" s="167"/>
      <c r="V506" s="715"/>
      <c r="W506" s="167"/>
      <c r="X506" s="715"/>
      <c r="Y506" s="715"/>
      <c r="Z506" s="167"/>
      <c r="AA506" s="167"/>
      <c r="AB506" s="792"/>
      <c r="AC506" s="789"/>
      <c r="AD506" s="789"/>
      <c r="AE506" s="149"/>
      <c r="AF506" s="149"/>
      <c r="AG506" s="789"/>
      <c r="AH506" s="149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</row>
    <row r="507" spans="2:49" s="64" customFormat="1">
      <c r="B507" s="63"/>
      <c r="C507" s="147"/>
      <c r="D507" s="186"/>
      <c r="E507" s="167"/>
      <c r="F507" s="167"/>
      <c r="G507" s="167"/>
      <c r="H507" s="715"/>
      <c r="I507" s="167"/>
      <c r="J507" s="715"/>
      <c r="K507" s="167"/>
      <c r="L507" s="167"/>
      <c r="M507" s="715"/>
      <c r="N507" s="167"/>
      <c r="O507" s="715"/>
      <c r="P507" s="167"/>
      <c r="Q507" s="167"/>
      <c r="R507" s="167"/>
      <c r="S507" s="167"/>
      <c r="T507" s="167"/>
      <c r="U507" s="167"/>
      <c r="V507" s="715"/>
      <c r="W507" s="167"/>
      <c r="X507" s="715"/>
      <c r="Y507" s="715"/>
      <c r="Z507" s="167"/>
      <c r="AA507" s="167"/>
      <c r="AB507" s="792"/>
      <c r="AC507" s="789"/>
      <c r="AD507" s="789"/>
      <c r="AE507" s="149"/>
      <c r="AF507" s="149"/>
      <c r="AG507" s="789"/>
      <c r="AH507" s="149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</row>
    <row r="508" spans="2:49" s="64" customFormat="1">
      <c r="B508" s="63"/>
      <c r="C508" s="147"/>
      <c r="D508" s="186"/>
      <c r="E508" s="167"/>
      <c r="F508" s="167"/>
      <c r="G508" s="167"/>
      <c r="H508" s="715"/>
      <c r="I508" s="167"/>
      <c r="J508" s="715"/>
      <c r="K508" s="167"/>
      <c r="L508" s="167"/>
      <c r="M508" s="715"/>
      <c r="N508" s="167"/>
      <c r="O508" s="715"/>
      <c r="P508" s="167"/>
      <c r="Q508" s="167"/>
      <c r="R508" s="167"/>
      <c r="S508" s="167"/>
      <c r="T508" s="167"/>
      <c r="U508" s="167"/>
      <c r="V508" s="715"/>
      <c r="W508" s="167"/>
      <c r="X508" s="715"/>
      <c r="Y508" s="715"/>
      <c r="Z508" s="167"/>
      <c r="AA508" s="167"/>
      <c r="AB508" s="792"/>
      <c r="AC508" s="789"/>
      <c r="AD508" s="789"/>
      <c r="AE508" s="149"/>
      <c r="AF508" s="149"/>
      <c r="AG508" s="789"/>
      <c r="AH508" s="149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</row>
    <row r="509" spans="2:49" s="64" customFormat="1">
      <c r="B509" s="63"/>
      <c r="C509" s="147"/>
      <c r="D509" s="186"/>
      <c r="E509" s="167"/>
      <c r="F509" s="167"/>
      <c r="G509" s="167"/>
      <c r="H509" s="715"/>
      <c r="I509" s="167"/>
      <c r="J509" s="715"/>
      <c r="K509" s="167"/>
      <c r="L509" s="167"/>
      <c r="M509" s="715"/>
      <c r="N509" s="167"/>
      <c r="O509" s="715"/>
      <c r="P509" s="167"/>
      <c r="Q509" s="167"/>
      <c r="R509" s="167"/>
      <c r="S509" s="167"/>
      <c r="T509" s="167"/>
      <c r="U509" s="167"/>
      <c r="V509" s="715"/>
      <c r="W509" s="167"/>
      <c r="X509" s="715"/>
      <c r="Y509" s="715"/>
      <c r="Z509" s="167"/>
      <c r="AA509" s="167"/>
      <c r="AB509" s="792"/>
      <c r="AC509" s="789"/>
      <c r="AD509" s="789"/>
      <c r="AE509" s="149"/>
      <c r="AF509" s="149"/>
      <c r="AG509" s="789"/>
      <c r="AH509" s="149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</row>
    <row r="510" spans="2:49" s="64" customFormat="1">
      <c r="B510" s="63"/>
      <c r="C510" s="147"/>
      <c r="D510" s="186"/>
      <c r="E510" s="167"/>
      <c r="F510" s="167"/>
      <c r="G510" s="167"/>
      <c r="H510" s="715"/>
      <c r="I510" s="167"/>
      <c r="J510" s="715"/>
      <c r="K510" s="167"/>
      <c r="L510" s="167"/>
      <c r="M510" s="715"/>
      <c r="N510" s="167"/>
      <c r="O510" s="715"/>
      <c r="P510" s="167"/>
      <c r="Q510" s="167"/>
      <c r="R510" s="167"/>
      <c r="S510" s="167"/>
      <c r="T510" s="167"/>
      <c r="U510" s="167"/>
      <c r="V510" s="715"/>
      <c r="W510" s="167"/>
      <c r="X510" s="715"/>
      <c r="Y510" s="715"/>
      <c r="Z510" s="167"/>
      <c r="AA510" s="167"/>
      <c r="AB510" s="792"/>
      <c r="AC510" s="789"/>
      <c r="AD510" s="789"/>
      <c r="AE510" s="149"/>
      <c r="AF510" s="149"/>
      <c r="AG510" s="789"/>
      <c r="AH510" s="149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</row>
    <row r="511" spans="2:49" s="64" customFormat="1">
      <c r="B511" s="63"/>
      <c r="C511" s="147"/>
      <c r="D511" s="186"/>
      <c r="E511" s="167"/>
      <c r="F511" s="167"/>
      <c r="G511" s="167"/>
      <c r="H511" s="715"/>
      <c r="I511" s="167"/>
      <c r="J511" s="715"/>
      <c r="K511" s="167"/>
      <c r="L511" s="167"/>
      <c r="M511" s="715"/>
      <c r="N511" s="167"/>
      <c r="O511" s="715"/>
      <c r="P511" s="167"/>
      <c r="Q511" s="167"/>
      <c r="R511" s="167"/>
      <c r="S511" s="167"/>
      <c r="T511" s="167"/>
      <c r="U511" s="167"/>
      <c r="V511" s="715"/>
      <c r="W511" s="167"/>
      <c r="X511" s="715"/>
      <c r="Y511" s="715"/>
      <c r="Z511" s="167"/>
      <c r="AA511" s="167"/>
      <c r="AB511" s="792"/>
      <c r="AC511" s="789"/>
      <c r="AD511" s="789"/>
      <c r="AE511" s="149"/>
      <c r="AF511" s="149"/>
      <c r="AG511" s="789"/>
      <c r="AH511" s="149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</row>
    <row r="512" spans="2:49" s="64" customFormat="1">
      <c r="B512" s="63"/>
      <c r="C512" s="147"/>
      <c r="D512" s="186"/>
      <c r="E512" s="167"/>
      <c r="F512" s="167"/>
      <c r="G512" s="167"/>
      <c r="H512" s="715"/>
      <c r="I512" s="167"/>
      <c r="J512" s="715"/>
      <c r="K512" s="167"/>
      <c r="L512" s="167"/>
      <c r="M512" s="715"/>
      <c r="N512" s="167"/>
      <c r="O512" s="715"/>
      <c r="P512" s="167"/>
      <c r="Q512" s="167"/>
      <c r="R512" s="167"/>
      <c r="S512" s="167"/>
      <c r="T512" s="167"/>
      <c r="U512" s="167"/>
      <c r="V512" s="715"/>
      <c r="W512" s="167"/>
      <c r="X512" s="715"/>
      <c r="Y512" s="715"/>
      <c r="Z512" s="167"/>
      <c r="AA512" s="167"/>
      <c r="AB512" s="792"/>
      <c r="AC512" s="789"/>
      <c r="AD512" s="789"/>
      <c r="AE512" s="149"/>
      <c r="AF512" s="149"/>
      <c r="AG512" s="789"/>
      <c r="AH512" s="149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</row>
    <row r="513" spans="2:49" s="64" customFormat="1">
      <c r="B513" s="63"/>
      <c r="C513" s="147"/>
      <c r="D513" s="186"/>
      <c r="E513" s="167"/>
      <c r="F513" s="167"/>
      <c r="G513" s="167"/>
      <c r="H513" s="715"/>
      <c r="I513" s="167"/>
      <c r="J513" s="715"/>
      <c r="K513" s="167"/>
      <c r="L513" s="167"/>
      <c r="M513" s="715"/>
      <c r="N513" s="167"/>
      <c r="O513" s="715"/>
      <c r="P513" s="167"/>
      <c r="Q513" s="167"/>
      <c r="R513" s="167"/>
      <c r="S513" s="167"/>
      <c r="T513" s="167"/>
      <c r="U513" s="167"/>
      <c r="V513" s="715"/>
      <c r="W513" s="167"/>
      <c r="X513" s="715"/>
      <c r="Y513" s="715"/>
      <c r="Z513" s="167"/>
      <c r="AA513" s="167"/>
      <c r="AB513" s="792"/>
      <c r="AC513" s="789"/>
      <c r="AD513" s="789"/>
      <c r="AE513" s="149"/>
      <c r="AF513" s="149"/>
      <c r="AG513" s="789"/>
      <c r="AH513" s="149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</row>
    <row r="514" spans="2:49" s="64" customFormat="1">
      <c r="B514" s="63"/>
      <c r="C514" s="147"/>
      <c r="D514" s="186"/>
      <c r="E514" s="167"/>
      <c r="F514" s="167"/>
      <c r="G514" s="167"/>
      <c r="H514" s="715"/>
      <c r="I514" s="167"/>
      <c r="J514" s="715"/>
      <c r="K514" s="167"/>
      <c r="L514" s="167"/>
      <c r="M514" s="715"/>
      <c r="N514" s="167"/>
      <c r="O514" s="715"/>
      <c r="P514" s="167"/>
      <c r="Q514" s="167"/>
      <c r="R514" s="167"/>
      <c r="S514" s="167"/>
      <c r="T514" s="167"/>
      <c r="U514" s="167"/>
      <c r="V514" s="715"/>
      <c r="W514" s="167"/>
      <c r="X514" s="715"/>
      <c r="Y514" s="715"/>
      <c r="Z514" s="167"/>
      <c r="AA514" s="167"/>
      <c r="AB514" s="792"/>
      <c r="AC514" s="789"/>
      <c r="AD514" s="789"/>
      <c r="AE514" s="149"/>
      <c r="AF514" s="149"/>
      <c r="AG514" s="789"/>
      <c r="AH514" s="149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</row>
    <row r="515" spans="2:49" s="64" customFormat="1">
      <c r="B515" s="63"/>
      <c r="C515" s="147"/>
      <c r="D515" s="186"/>
      <c r="E515" s="167"/>
      <c r="F515" s="167"/>
      <c r="G515" s="167"/>
      <c r="H515" s="715"/>
      <c r="I515" s="167"/>
      <c r="J515" s="715"/>
      <c r="K515" s="167"/>
      <c r="L515" s="167"/>
      <c r="M515" s="715"/>
      <c r="N515" s="167"/>
      <c r="O515" s="715"/>
      <c r="P515" s="167"/>
      <c r="Q515" s="167"/>
      <c r="R515" s="167"/>
      <c r="S515" s="167"/>
      <c r="T515" s="167"/>
      <c r="U515" s="167"/>
      <c r="V515" s="715"/>
      <c r="W515" s="167"/>
      <c r="X515" s="715"/>
      <c r="Y515" s="715"/>
      <c r="Z515" s="167"/>
      <c r="AA515" s="167"/>
      <c r="AB515" s="792"/>
      <c r="AC515" s="789"/>
      <c r="AD515" s="789"/>
      <c r="AE515" s="149"/>
      <c r="AF515" s="149"/>
      <c r="AG515" s="789"/>
      <c r="AH515" s="149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</row>
    <row r="516" spans="2:49" s="64" customFormat="1">
      <c r="B516" s="63"/>
      <c r="C516" s="147"/>
      <c r="D516" s="186"/>
      <c r="E516" s="167"/>
      <c r="F516" s="167"/>
      <c r="G516" s="167"/>
      <c r="H516" s="715"/>
      <c r="I516" s="167"/>
      <c r="J516" s="715"/>
      <c r="K516" s="167"/>
      <c r="L516" s="167"/>
      <c r="M516" s="715"/>
      <c r="N516" s="167"/>
      <c r="O516" s="715"/>
      <c r="P516" s="167"/>
      <c r="Q516" s="167"/>
      <c r="R516" s="167"/>
      <c r="S516" s="167"/>
      <c r="T516" s="167"/>
      <c r="U516" s="167"/>
      <c r="V516" s="715"/>
      <c r="W516" s="167"/>
      <c r="X516" s="715"/>
      <c r="Y516" s="715"/>
      <c r="Z516" s="167"/>
      <c r="AA516" s="167"/>
      <c r="AB516" s="792"/>
      <c r="AC516" s="789"/>
      <c r="AD516" s="789"/>
      <c r="AE516" s="149"/>
      <c r="AF516" s="149"/>
      <c r="AG516" s="789"/>
      <c r="AH516" s="149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</row>
    <row r="517" spans="2:49" s="64" customFormat="1">
      <c r="B517" s="63"/>
      <c r="C517" s="147"/>
      <c r="D517" s="186"/>
      <c r="E517" s="167"/>
      <c r="F517" s="167"/>
      <c r="G517" s="167"/>
      <c r="H517" s="715"/>
      <c r="I517" s="167"/>
      <c r="J517" s="715"/>
      <c r="K517" s="167"/>
      <c r="L517" s="167"/>
      <c r="M517" s="715"/>
      <c r="N517" s="167"/>
      <c r="O517" s="715"/>
      <c r="P517" s="167"/>
      <c r="Q517" s="167"/>
      <c r="R517" s="167"/>
      <c r="S517" s="167"/>
      <c r="T517" s="167"/>
      <c r="U517" s="167"/>
      <c r="V517" s="715"/>
      <c r="W517" s="167"/>
      <c r="X517" s="715"/>
      <c r="Y517" s="715"/>
      <c r="Z517" s="167"/>
      <c r="AA517" s="167"/>
      <c r="AB517" s="792"/>
      <c r="AC517" s="789"/>
      <c r="AD517" s="789"/>
      <c r="AE517" s="149"/>
      <c r="AF517" s="149"/>
      <c r="AG517" s="789"/>
      <c r="AH517" s="149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</row>
    <row r="518" spans="2:49" s="64" customFormat="1">
      <c r="B518" s="63"/>
      <c r="C518" s="147"/>
      <c r="D518" s="186"/>
      <c r="E518" s="167"/>
      <c r="F518" s="167"/>
      <c r="G518" s="167"/>
      <c r="H518" s="715"/>
      <c r="I518" s="167"/>
      <c r="J518" s="715"/>
      <c r="K518" s="167"/>
      <c r="L518" s="167"/>
      <c r="M518" s="715"/>
      <c r="N518" s="167"/>
      <c r="O518" s="715"/>
      <c r="P518" s="167"/>
      <c r="Q518" s="167"/>
      <c r="R518" s="167"/>
      <c r="S518" s="167"/>
      <c r="T518" s="167"/>
      <c r="U518" s="167"/>
      <c r="V518" s="715"/>
      <c r="W518" s="167"/>
      <c r="X518" s="715"/>
      <c r="Y518" s="715"/>
      <c r="Z518" s="167"/>
      <c r="AA518" s="167"/>
      <c r="AB518" s="792"/>
      <c r="AC518" s="789"/>
      <c r="AD518" s="789"/>
      <c r="AE518" s="149"/>
      <c r="AF518" s="149"/>
      <c r="AG518" s="789"/>
      <c r="AH518" s="149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</row>
    <row r="519" spans="2:49" s="64" customFormat="1">
      <c r="B519" s="63"/>
      <c r="C519" s="147"/>
      <c r="D519" s="186"/>
      <c r="E519" s="167"/>
      <c r="F519" s="167"/>
      <c r="G519" s="167"/>
      <c r="H519" s="715"/>
      <c r="I519" s="167"/>
      <c r="J519" s="715"/>
      <c r="K519" s="167"/>
      <c r="L519" s="167"/>
      <c r="M519" s="715"/>
      <c r="N519" s="167"/>
      <c r="O519" s="715"/>
      <c r="P519" s="167"/>
      <c r="Q519" s="167"/>
      <c r="R519" s="167"/>
      <c r="S519" s="167"/>
      <c r="T519" s="167"/>
      <c r="U519" s="167"/>
      <c r="V519" s="715"/>
      <c r="W519" s="167"/>
      <c r="X519" s="715"/>
      <c r="Y519" s="715"/>
      <c r="Z519" s="167"/>
      <c r="AA519" s="167"/>
      <c r="AB519" s="792"/>
      <c r="AC519" s="789"/>
      <c r="AD519" s="789"/>
      <c r="AE519" s="149"/>
      <c r="AF519" s="149"/>
      <c r="AG519" s="789"/>
      <c r="AH519" s="149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</row>
    <row r="520" spans="2:49" s="64" customFormat="1">
      <c r="B520" s="63"/>
      <c r="C520" s="147"/>
      <c r="D520" s="186"/>
      <c r="E520" s="167"/>
      <c r="F520" s="167"/>
      <c r="G520" s="167"/>
      <c r="H520" s="715"/>
      <c r="I520" s="167"/>
      <c r="J520" s="715"/>
      <c r="K520" s="167"/>
      <c r="L520" s="167"/>
      <c r="M520" s="715"/>
      <c r="N520" s="167"/>
      <c r="O520" s="715"/>
      <c r="P520" s="167"/>
      <c r="Q520" s="167"/>
      <c r="R520" s="167"/>
      <c r="S520" s="167"/>
      <c r="T520" s="167"/>
      <c r="U520" s="167"/>
      <c r="V520" s="715"/>
      <c r="W520" s="167"/>
      <c r="X520" s="715"/>
      <c r="Y520" s="715"/>
      <c r="Z520" s="167"/>
      <c r="AA520" s="167"/>
      <c r="AB520" s="792"/>
      <c r="AC520" s="789"/>
      <c r="AD520" s="789"/>
      <c r="AE520" s="149"/>
      <c r="AF520" s="149"/>
      <c r="AG520" s="789"/>
      <c r="AH520" s="149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</row>
    <row r="521" spans="2:49" s="64" customFormat="1">
      <c r="B521" s="63"/>
      <c r="C521" s="147"/>
      <c r="D521" s="186"/>
      <c r="E521" s="167"/>
      <c r="F521" s="167"/>
      <c r="G521" s="167"/>
      <c r="H521" s="715"/>
      <c r="I521" s="167"/>
      <c r="J521" s="715"/>
      <c r="K521" s="167"/>
      <c r="L521" s="167"/>
      <c r="M521" s="715"/>
      <c r="N521" s="167"/>
      <c r="O521" s="715"/>
      <c r="P521" s="167"/>
      <c r="Q521" s="167"/>
      <c r="R521" s="167"/>
      <c r="S521" s="167"/>
      <c r="T521" s="167"/>
      <c r="U521" s="167"/>
      <c r="V521" s="715"/>
      <c r="W521" s="167"/>
      <c r="X521" s="715"/>
      <c r="Y521" s="715"/>
      <c r="Z521" s="167"/>
      <c r="AA521" s="167"/>
      <c r="AB521" s="792"/>
      <c r="AC521" s="789"/>
      <c r="AD521" s="789"/>
      <c r="AE521" s="149"/>
      <c r="AF521" s="149"/>
      <c r="AG521" s="789"/>
      <c r="AH521" s="149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</row>
    <row r="522" spans="2:49" s="64" customFormat="1">
      <c r="B522" s="63"/>
      <c r="C522" s="147"/>
      <c r="D522" s="186"/>
      <c r="E522" s="167"/>
      <c r="F522" s="167"/>
      <c r="G522" s="167"/>
      <c r="H522" s="715"/>
      <c r="I522" s="167"/>
      <c r="J522" s="715"/>
      <c r="K522" s="167"/>
      <c r="L522" s="167"/>
      <c r="M522" s="715"/>
      <c r="N522" s="167"/>
      <c r="O522" s="715"/>
      <c r="P522" s="167"/>
      <c r="Q522" s="167"/>
      <c r="R522" s="167"/>
      <c r="S522" s="167"/>
      <c r="T522" s="167"/>
      <c r="U522" s="167"/>
      <c r="V522" s="715"/>
      <c r="W522" s="167"/>
      <c r="X522" s="715"/>
      <c r="Y522" s="715"/>
      <c r="Z522" s="167"/>
      <c r="AA522" s="167"/>
      <c r="AB522" s="792"/>
      <c r="AC522" s="789"/>
      <c r="AD522" s="789"/>
      <c r="AE522" s="149"/>
      <c r="AF522" s="149"/>
      <c r="AG522" s="789"/>
      <c r="AH522" s="149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</row>
    <row r="523" spans="2:49" s="64" customFormat="1">
      <c r="B523" s="63"/>
      <c r="C523" s="147"/>
      <c r="D523" s="186"/>
      <c r="E523" s="167"/>
      <c r="F523" s="167"/>
      <c r="G523" s="167"/>
      <c r="H523" s="715"/>
      <c r="I523" s="167"/>
      <c r="J523" s="715"/>
      <c r="K523" s="167"/>
      <c r="L523" s="167"/>
      <c r="M523" s="715"/>
      <c r="N523" s="167"/>
      <c r="O523" s="715"/>
      <c r="P523" s="167"/>
      <c r="Q523" s="167"/>
      <c r="R523" s="167"/>
      <c r="S523" s="167"/>
      <c r="T523" s="167"/>
      <c r="U523" s="167"/>
      <c r="V523" s="715"/>
      <c r="W523" s="167"/>
      <c r="X523" s="715"/>
      <c r="Y523" s="715"/>
      <c r="Z523" s="167"/>
      <c r="AA523" s="167"/>
      <c r="AB523" s="792"/>
      <c r="AC523" s="789"/>
      <c r="AD523" s="789"/>
      <c r="AE523" s="149"/>
      <c r="AF523" s="149"/>
      <c r="AG523" s="789"/>
      <c r="AH523" s="149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</row>
    <row r="524" spans="2:49" s="64" customFormat="1">
      <c r="B524" s="63"/>
      <c r="C524" s="147"/>
      <c r="D524" s="186"/>
      <c r="E524" s="167"/>
      <c r="F524" s="167"/>
      <c r="G524" s="167"/>
      <c r="H524" s="715"/>
      <c r="I524" s="167"/>
      <c r="J524" s="715"/>
      <c r="K524" s="167"/>
      <c r="L524" s="167"/>
      <c r="M524" s="715"/>
      <c r="N524" s="167"/>
      <c r="O524" s="715"/>
      <c r="P524" s="167"/>
      <c r="Q524" s="167"/>
      <c r="R524" s="167"/>
      <c r="S524" s="167"/>
      <c r="T524" s="167"/>
      <c r="U524" s="167"/>
      <c r="V524" s="715"/>
      <c r="W524" s="167"/>
      <c r="X524" s="715"/>
      <c r="Y524" s="715"/>
      <c r="Z524" s="167"/>
      <c r="AA524" s="167"/>
      <c r="AB524" s="792"/>
      <c r="AC524" s="789"/>
      <c r="AD524" s="789"/>
      <c r="AE524" s="149"/>
      <c r="AF524" s="149"/>
      <c r="AG524" s="789"/>
      <c r="AH524" s="149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</row>
    <row r="525" spans="2:49" s="64" customFormat="1">
      <c r="B525" s="63"/>
      <c r="C525" s="147"/>
      <c r="D525" s="186"/>
      <c r="E525" s="167"/>
      <c r="F525" s="167"/>
      <c r="G525" s="167"/>
      <c r="H525" s="715"/>
      <c r="I525" s="167"/>
      <c r="J525" s="715"/>
      <c r="K525" s="167"/>
      <c r="L525" s="167"/>
      <c r="M525" s="715"/>
      <c r="N525" s="167"/>
      <c r="O525" s="715"/>
      <c r="P525" s="167"/>
      <c r="Q525" s="167"/>
      <c r="R525" s="167"/>
      <c r="S525" s="167"/>
      <c r="T525" s="167"/>
      <c r="U525" s="167"/>
      <c r="V525" s="715"/>
      <c r="W525" s="167"/>
      <c r="X525" s="715"/>
      <c r="Y525" s="715"/>
      <c r="Z525" s="167"/>
      <c r="AA525" s="167"/>
      <c r="AB525" s="792"/>
      <c r="AC525" s="789"/>
      <c r="AD525" s="789"/>
      <c r="AE525" s="149"/>
      <c r="AF525" s="149"/>
      <c r="AG525" s="789"/>
      <c r="AH525" s="149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</row>
    <row r="526" spans="2:49" s="64" customFormat="1">
      <c r="B526" s="63"/>
      <c r="C526" s="147"/>
      <c r="D526" s="186"/>
      <c r="E526" s="167"/>
      <c r="F526" s="167"/>
      <c r="G526" s="167"/>
      <c r="H526" s="715"/>
      <c r="I526" s="167"/>
      <c r="J526" s="715"/>
      <c r="K526" s="167"/>
      <c r="L526" s="167"/>
      <c r="M526" s="715"/>
      <c r="N526" s="167"/>
      <c r="O526" s="715"/>
      <c r="P526" s="167"/>
      <c r="Q526" s="167"/>
      <c r="R526" s="167"/>
      <c r="S526" s="167"/>
      <c r="T526" s="167"/>
      <c r="U526" s="167"/>
      <c r="V526" s="715"/>
      <c r="W526" s="167"/>
      <c r="X526" s="715"/>
      <c r="Y526" s="715"/>
      <c r="Z526" s="167"/>
      <c r="AA526" s="167"/>
      <c r="AB526" s="792"/>
      <c r="AC526" s="789"/>
      <c r="AD526" s="789"/>
      <c r="AE526" s="149"/>
      <c r="AF526" s="149"/>
      <c r="AG526" s="789"/>
      <c r="AH526" s="149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</row>
    <row r="527" spans="2:49" s="64" customFormat="1">
      <c r="B527" s="63"/>
      <c r="C527" s="147"/>
      <c r="D527" s="186"/>
      <c r="E527" s="167"/>
      <c r="F527" s="167"/>
      <c r="G527" s="167"/>
      <c r="H527" s="715"/>
      <c r="I527" s="167"/>
      <c r="J527" s="715"/>
      <c r="K527" s="167"/>
      <c r="L527" s="167"/>
      <c r="M527" s="715"/>
      <c r="N527" s="167"/>
      <c r="O527" s="715"/>
      <c r="P527" s="167"/>
      <c r="Q527" s="167"/>
      <c r="R527" s="167"/>
      <c r="S527" s="167"/>
      <c r="T527" s="167"/>
      <c r="U527" s="167"/>
      <c r="V527" s="715"/>
      <c r="W527" s="167"/>
      <c r="X527" s="715"/>
      <c r="Y527" s="715"/>
      <c r="Z527" s="167"/>
      <c r="AA527" s="167"/>
      <c r="AB527" s="792"/>
      <c r="AC527" s="789"/>
      <c r="AD527" s="789"/>
      <c r="AE527" s="149"/>
      <c r="AF527" s="149"/>
      <c r="AG527" s="789"/>
      <c r="AH527" s="149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</row>
    <row r="528" spans="2:49" s="64" customFormat="1">
      <c r="B528" s="63"/>
      <c r="C528" s="147"/>
      <c r="D528" s="186"/>
      <c r="E528" s="167"/>
      <c r="F528" s="167"/>
      <c r="G528" s="167"/>
      <c r="H528" s="715"/>
      <c r="I528" s="167"/>
      <c r="J528" s="715"/>
      <c r="K528" s="167"/>
      <c r="L528" s="167"/>
      <c r="M528" s="715"/>
      <c r="N528" s="167"/>
      <c r="O528" s="715"/>
      <c r="P528" s="167"/>
      <c r="Q528" s="167"/>
      <c r="R528" s="167"/>
      <c r="S528" s="167"/>
      <c r="T528" s="167"/>
      <c r="U528" s="167"/>
      <c r="V528" s="715"/>
      <c r="W528" s="167"/>
      <c r="X528" s="715"/>
      <c r="Y528" s="715"/>
      <c r="Z528" s="167"/>
      <c r="AA528" s="167"/>
      <c r="AB528" s="792"/>
      <c r="AC528" s="789"/>
      <c r="AD528" s="789"/>
      <c r="AE528" s="149"/>
      <c r="AF528" s="149"/>
      <c r="AG528" s="789"/>
      <c r="AH528" s="149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</row>
    <row r="529" spans="2:49" s="64" customFormat="1">
      <c r="B529" s="63"/>
      <c r="C529" s="147"/>
      <c r="D529" s="186"/>
      <c r="E529" s="167"/>
      <c r="F529" s="167"/>
      <c r="G529" s="167"/>
      <c r="H529" s="715"/>
      <c r="I529" s="167"/>
      <c r="J529" s="715"/>
      <c r="K529" s="167"/>
      <c r="L529" s="167"/>
      <c r="M529" s="715"/>
      <c r="N529" s="167"/>
      <c r="O529" s="715"/>
      <c r="P529" s="167"/>
      <c r="Q529" s="167"/>
      <c r="R529" s="167"/>
      <c r="S529" s="167"/>
      <c r="T529" s="167"/>
      <c r="U529" s="167"/>
      <c r="V529" s="715"/>
      <c r="W529" s="167"/>
      <c r="X529" s="715"/>
      <c r="Y529" s="715"/>
      <c r="Z529" s="167"/>
      <c r="AA529" s="167"/>
      <c r="AB529" s="792"/>
      <c r="AC529" s="789"/>
      <c r="AD529" s="789"/>
      <c r="AE529" s="149"/>
      <c r="AF529" s="149"/>
      <c r="AG529" s="789"/>
      <c r="AH529" s="149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</row>
    <row r="530" spans="2:49" s="64" customFormat="1">
      <c r="B530" s="63"/>
      <c r="C530" s="147"/>
      <c r="D530" s="186"/>
      <c r="E530" s="167"/>
      <c r="F530" s="167"/>
      <c r="G530" s="167"/>
      <c r="H530" s="715"/>
      <c r="I530" s="167"/>
      <c r="J530" s="715"/>
      <c r="K530" s="167"/>
      <c r="L530" s="167"/>
      <c r="M530" s="715"/>
      <c r="N530" s="167"/>
      <c r="O530" s="715"/>
      <c r="P530" s="167"/>
      <c r="Q530" s="167"/>
      <c r="R530" s="167"/>
      <c r="S530" s="167"/>
      <c r="T530" s="167"/>
      <c r="U530" s="167"/>
      <c r="V530" s="715"/>
      <c r="W530" s="167"/>
      <c r="X530" s="715"/>
      <c r="Y530" s="715"/>
      <c r="Z530" s="167"/>
      <c r="AA530" s="167"/>
      <c r="AB530" s="792"/>
      <c r="AC530" s="789"/>
      <c r="AD530" s="789"/>
      <c r="AE530" s="149"/>
      <c r="AF530" s="149"/>
      <c r="AG530" s="789"/>
      <c r="AH530" s="149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</row>
    <row r="531" spans="2:49" s="64" customFormat="1">
      <c r="B531" s="63"/>
      <c r="C531" s="147"/>
      <c r="D531" s="186"/>
      <c r="E531" s="167"/>
      <c r="F531" s="167"/>
      <c r="G531" s="167"/>
      <c r="H531" s="715"/>
      <c r="I531" s="167"/>
      <c r="J531" s="715"/>
      <c r="K531" s="167"/>
      <c r="L531" s="167"/>
      <c r="M531" s="715"/>
      <c r="N531" s="167"/>
      <c r="O531" s="715"/>
      <c r="P531" s="167"/>
      <c r="Q531" s="167"/>
      <c r="R531" s="167"/>
      <c r="S531" s="167"/>
      <c r="T531" s="167"/>
      <c r="U531" s="167"/>
      <c r="V531" s="715"/>
      <c r="W531" s="167"/>
      <c r="X531" s="715"/>
      <c r="Y531" s="715"/>
      <c r="Z531" s="167"/>
      <c r="AA531" s="167"/>
      <c r="AB531" s="792"/>
      <c r="AC531" s="789"/>
      <c r="AD531" s="789"/>
      <c r="AE531" s="149"/>
      <c r="AF531" s="149"/>
      <c r="AG531" s="789"/>
      <c r="AH531" s="149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</row>
    <row r="532" spans="2:49" s="64" customFormat="1">
      <c r="B532" s="63"/>
      <c r="C532" s="147"/>
      <c r="D532" s="186"/>
      <c r="E532" s="167"/>
      <c r="F532" s="167"/>
      <c r="G532" s="167"/>
      <c r="H532" s="715"/>
      <c r="I532" s="167"/>
      <c r="J532" s="715"/>
      <c r="K532" s="167"/>
      <c r="L532" s="167"/>
      <c r="M532" s="715"/>
      <c r="N532" s="167"/>
      <c r="O532" s="715"/>
      <c r="P532" s="167"/>
      <c r="Q532" s="167"/>
      <c r="R532" s="167"/>
      <c r="S532" s="167"/>
      <c r="T532" s="167"/>
      <c r="U532" s="167"/>
      <c r="V532" s="715"/>
      <c r="W532" s="167"/>
      <c r="X532" s="715"/>
      <c r="Y532" s="715"/>
      <c r="Z532" s="167"/>
      <c r="AA532" s="167"/>
      <c r="AB532" s="792"/>
      <c r="AC532" s="789"/>
      <c r="AD532" s="789"/>
      <c r="AE532" s="149"/>
      <c r="AF532" s="149"/>
      <c r="AG532" s="789"/>
      <c r="AH532" s="149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</row>
    <row r="533" spans="2:49" s="64" customFormat="1">
      <c r="B533" s="63"/>
      <c r="C533" s="147"/>
      <c r="D533" s="186"/>
      <c r="E533" s="167"/>
      <c r="F533" s="167"/>
      <c r="G533" s="167"/>
      <c r="H533" s="715"/>
      <c r="I533" s="167"/>
      <c r="J533" s="715"/>
      <c r="K533" s="167"/>
      <c r="L533" s="167"/>
      <c r="M533" s="715"/>
      <c r="N533" s="167"/>
      <c r="O533" s="715"/>
      <c r="P533" s="167"/>
      <c r="Q533" s="167"/>
      <c r="R533" s="167"/>
      <c r="S533" s="167"/>
      <c r="T533" s="167"/>
      <c r="U533" s="167"/>
      <c r="V533" s="715"/>
      <c r="W533" s="167"/>
      <c r="X533" s="715"/>
      <c r="Y533" s="715"/>
      <c r="Z533" s="167"/>
      <c r="AA533" s="167"/>
      <c r="AB533" s="792"/>
      <c r="AC533" s="789"/>
      <c r="AD533" s="789"/>
      <c r="AE533" s="149"/>
      <c r="AF533" s="149"/>
      <c r="AG533" s="789"/>
      <c r="AH533" s="149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</row>
    <row r="534" spans="2:49" s="64" customFormat="1">
      <c r="B534" s="63"/>
      <c r="C534" s="147"/>
      <c r="D534" s="186"/>
      <c r="E534" s="167"/>
      <c r="F534" s="167"/>
      <c r="G534" s="167"/>
      <c r="H534" s="715"/>
      <c r="I534" s="167"/>
      <c r="J534" s="715"/>
      <c r="K534" s="167"/>
      <c r="L534" s="167"/>
      <c r="M534" s="715"/>
      <c r="N534" s="167"/>
      <c r="O534" s="715"/>
      <c r="P534" s="167"/>
      <c r="Q534" s="167"/>
      <c r="R534" s="167"/>
      <c r="S534" s="167"/>
      <c r="T534" s="167"/>
      <c r="U534" s="167"/>
      <c r="V534" s="715"/>
      <c r="W534" s="167"/>
      <c r="X534" s="715"/>
      <c r="Y534" s="715"/>
      <c r="Z534" s="167"/>
      <c r="AA534" s="167"/>
      <c r="AB534" s="792"/>
      <c r="AC534" s="789"/>
      <c r="AD534" s="789"/>
      <c r="AE534" s="149"/>
      <c r="AF534" s="149"/>
      <c r="AG534" s="789"/>
      <c r="AH534" s="149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</row>
    <row r="535" spans="2:49" s="64" customFormat="1">
      <c r="B535" s="63"/>
      <c r="C535" s="147"/>
      <c r="D535" s="186"/>
      <c r="E535" s="167"/>
      <c r="F535" s="167"/>
      <c r="G535" s="167"/>
      <c r="H535" s="715"/>
      <c r="I535" s="167"/>
      <c r="J535" s="715"/>
      <c r="K535" s="167"/>
      <c r="L535" s="167"/>
      <c r="M535" s="715"/>
      <c r="N535" s="167"/>
      <c r="O535" s="715"/>
      <c r="P535" s="167"/>
      <c r="Q535" s="167"/>
      <c r="R535" s="167"/>
      <c r="S535" s="167"/>
      <c r="T535" s="167"/>
      <c r="U535" s="167"/>
      <c r="V535" s="715"/>
      <c r="W535" s="167"/>
      <c r="X535" s="715"/>
      <c r="Y535" s="715"/>
      <c r="Z535" s="167"/>
      <c r="AA535" s="167"/>
      <c r="AB535" s="792"/>
      <c r="AC535" s="789"/>
      <c r="AD535" s="789"/>
      <c r="AE535" s="149"/>
      <c r="AF535" s="149"/>
      <c r="AG535" s="789"/>
      <c r="AH535" s="149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</row>
    <row r="536" spans="2:49" s="64" customFormat="1">
      <c r="B536" s="63"/>
      <c r="C536" s="147"/>
      <c r="D536" s="186"/>
      <c r="E536" s="167"/>
      <c r="F536" s="167"/>
      <c r="G536" s="167"/>
      <c r="H536" s="715"/>
      <c r="I536" s="167"/>
      <c r="J536" s="715"/>
      <c r="K536" s="167"/>
      <c r="L536" s="167"/>
      <c r="M536" s="715"/>
      <c r="N536" s="167"/>
      <c r="O536" s="715"/>
      <c r="P536" s="167"/>
      <c r="Q536" s="167"/>
      <c r="R536" s="167"/>
      <c r="S536" s="167"/>
      <c r="T536" s="167"/>
      <c r="U536" s="167"/>
      <c r="V536" s="715"/>
      <c r="W536" s="167"/>
      <c r="X536" s="715"/>
      <c r="Y536" s="715"/>
      <c r="Z536" s="167"/>
      <c r="AA536" s="167"/>
      <c r="AB536" s="792"/>
      <c r="AC536" s="789"/>
      <c r="AD536" s="789"/>
      <c r="AE536" s="149"/>
      <c r="AF536" s="149"/>
      <c r="AG536" s="789"/>
      <c r="AH536" s="149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</row>
    <row r="537" spans="2:49" s="64" customFormat="1">
      <c r="B537" s="63"/>
      <c r="C537" s="147"/>
      <c r="D537" s="186"/>
      <c r="E537" s="167"/>
      <c r="F537" s="167"/>
      <c r="G537" s="167"/>
      <c r="H537" s="715"/>
      <c r="I537" s="167"/>
      <c r="J537" s="715"/>
      <c r="K537" s="167"/>
      <c r="L537" s="167"/>
      <c r="M537" s="715"/>
      <c r="N537" s="167"/>
      <c r="O537" s="715"/>
      <c r="P537" s="167"/>
      <c r="Q537" s="167"/>
      <c r="R537" s="167"/>
      <c r="S537" s="167"/>
      <c r="T537" s="167"/>
      <c r="U537" s="167"/>
      <c r="V537" s="715"/>
      <c r="W537" s="167"/>
      <c r="X537" s="715"/>
      <c r="Y537" s="715"/>
      <c r="Z537" s="167"/>
      <c r="AA537" s="167"/>
      <c r="AB537" s="792"/>
      <c r="AC537" s="789"/>
      <c r="AD537" s="789"/>
      <c r="AE537" s="149"/>
      <c r="AF537" s="149"/>
      <c r="AG537" s="789"/>
      <c r="AH537" s="149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</row>
    <row r="538" spans="2:49" s="64" customFormat="1">
      <c r="B538" s="63"/>
      <c r="C538" s="147"/>
      <c r="D538" s="186"/>
      <c r="E538" s="167"/>
      <c r="F538" s="167"/>
      <c r="G538" s="167"/>
      <c r="H538" s="715"/>
      <c r="I538" s="167"/>
      <c r="J538" s="715"/>
      <c r="K538" s="167"/>
      <c r="L538" s="167"/>
      <c r="M538" s="715"/>
      <c r="N538" s="167"/>
      <c r="O538" s="715"/>
      <c r="P538" s="167"/>
      <c r="Q538" s="167"/>
      <c r="R538" s="167"/>
      <c r="S538" s="167"/>
      <c r="T538" s="167"/>
      <c r="U538" s="167"/>
      <c r="V538" s="715"/>
      <c r="W538" s="167"/>
      <c r="X538" s="715"/>
      <c r="Y538" s="715"/>
      <c r="Z538" s="167"/>
      <c r="AA538" s="167"/>
      <c r="AB538" s="792"/>
      <c r="AC538" s="789"/>
      <c r="AD538" s="789"/>
      <c r="AE538" s="149"/>
      <c r="AF538" s="149"/>
      <c r="AG538" s="789"/>
      <c r="AH538" s="149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</row>
    <row r="539" spans="2:49" s="64" customFormat="1">
      <c r="B539" s="63"/>
      <c r="C539" s="147"/>
      <c r="D539" s="186"/>
      <c r="E539" s="167"/>
      <c r="F539" s="167"/>
      <c r="G539" s="167"/>
      <c r="H539" s="715"/>
      <c r="I539" s="167"/>
      <c r="J539" s="715"/>
      <c r="K539" s="167"/>
      <c r="L539" s="167"/>
      <c r="M539" s="715"/>
      <c r="N539" s="167"/>
      <c r="O539" s="715"/>
      <c r="P539" s="167"/>
      <c r="Q539" s="167"/>
      <c r="R539" s="167"/>
      <c r="S539" s="167"/>
      <c r="T539" s="167"/>
      <c r="U539" s="167"/>
      <c r="V539" s="715"/>
      <c r="W539" s="167"/>
      <c r="X539" s="715"/>
      <c r="Y539" s="715"/>
      <c r="Z539" s="167"/>
      <c r="AA539" s="167"/>
      <c r="AB539" s="792"/>
      <c r="AC539" s="789"/>
      <c r="AD539" s="789"/>
      <c r="AE539" s="149"/>
      <c r="AF539" s="149"/>
      <c r="AG539" s="789"/>
      <c r="AH539" s="149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</row>
    <row r="540" spans="2:49" s="64" customFormat="1">
      <c r="B540" s="63"/>
      <c r="C540" s="147"/>
      <c r="D540" s="186"/>
      <c r="E540" s="167"/>
      <c r="F540" s="167"/>
      <c r="G540" s="167"/>
      <c r="H540" s="715"/>
      <c r="I540" s="167"/>
      <c r="J540" s="715"/>
      <c r="K540" s="167"/>
      <c r="L540" s="167"/>
      <c r="M540" s="715"/>
      <c r="N540" s="167"/>
      <c r="O540" s="715"/>
      <c r="P540" s="167"/>
      <c r="Q540" s="167"/>
      <c r="R540" s="167"/>
      <c r="S540" s="167"/>
      <c r="T540" s="167"/>
      <c r="U540" s="167"/>
      <c r="V540" s="715"/>
      <c r="W540" s="167"/>
      <c r="X540" s="715"/>
      <c r="Y540" s="715"/>
      <c r="Z540" s="167"/>
      <c r="AA540" s="167"/>
      <c r="AB540" s="792"/>
      <c r="AC540" s="789"/>
      <c r="AD540" s="789"/>
      <c r="AE540" s="149"/>
      <c r="AF540" s="149"/>
      <c r="AG540" s="789"/>
      <c r="AH540" s="149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</row>
    <row r="541" spans="2:49" s="64" customFormat="1">
      <c r="B541" s="63"/>
      <c r="C541" s="147"/>
      <c r="D541" s="186"/>
      <c r="E541" s="167"/>
      <c r="F541" s="167"/>
      <c r="G541" s="167"/>
      <c r="H541" s="715"/>
      <c r="I541" s="167"/>
      <c r="J541" s="715"/>
      <c r="K541" s="167"/>
      <c r="L541" s="167"/>
      <c r="M541" s="715"/>
      <c r="N541" s="167"/>
      <c r="O541" s="715"/>
      <c r="P541" s="167"/>
      <c r="Q541" s="167"/>
      <c r="R541" s="167"/>
      <c r="S541" s="167"/>
      <c r="T541" s="167"/>
      <c r="U541" s="167"/>
      <c r="V541" s="715"/>
      <c r="W541" s="167"/>
      <c r="X541" s="715"/>
      <c r="Y541" s="715"/>
      <c r="Z541" s="167"/>
      <c r="AA541" s="167"/>
      <c r="AB541" s="792"/>
      <c r="AC541" s="789"/>
      <c r="AD541" s="789"/>
      <c r="AE541" s="149"/>
      <c r="AF541" s="149"/>
      <c r="AG541" s="789"/>
      <c r="AH541" s="149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</row>
    <row r="542" spans="2:49" s="64" customFormat="1">
      <c r="B542" s="63"/>
      <c r="C542" s="147"/>
      <c r="D542" s="186"/>
      <c r="E542" s="167"/>
      <c r="F542" s="167"/>
      <c r="G542" s="167"/>
      <c r="H542" s="715"/>
      <c r="I542" s="167"/>
      <c r="J542" s="715"/>
      <c r="K542" s="167"/>
      <c r="L542" s="167"/>
      <c r="M542" s="715"/>
      <c r="N542" s="167"/>
      <c r="O542" s="715"/>
      <c r="P542" s="167"/>
      <c r="Q542" s="167"/>
      <c r="R542" s="167"/>
      <c r="S542" s="167"/>
      <c r="T542" s="167"/>
      <c r="U542" s="167"/>
      <c r="V542" s="715"/>
      <c r="W542" s="167"/>
      <c r="X542" s="715"/>
      <c r="Y542" s="715"/>
      <c r="Z542" s="167"/>
      <c r="AA542" s="167"/>
      <c r="AB542" s="792"/>
      <c r="AC542" s="789"/>
      <c r="AD542" s="789"/>
      <c r="AE542" s="149"/>
      <c r="AF542" s="149"/>
      <c r="AG542" s="789"/>
      <c r="AH542" s="149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</row>
    <row r="543" spans="2:49" s="64" customFormat="1">
      <c r="B543" s="63"/>
      <c r="C543" s="147"/>
      <c r="D543" s="186"/>
      <c r="E543" s="167"/>
      <c r="F543" s="167"/>
      <c r="G543" s="167"/>
      <c r="H543" s="715"/>
      <c r="I543" s="167"/>
      <c r="J543" s="715"/>
      <c r="K543" s="167"/>
      <c r="L543" s="167"/>
      <c r="M543" s="715"/>
      <c r="N543" s="167"/>
      <c r="O543" s="715"/>
      <c r="P543" s="167"/>
      <c r="Q543" s="167"/>
      <c r="R543" s="167"/>
      <c r="S543" s="167"/>
      <c r="T543" s="167"/>
      <c r="U543" s="167"/>
      <c r="V543" s="715"/>
      <c r="W543" s="167"/>
      <c r="X543" s="715"/>
      <c r="Y543" s="715"/>
      <c r="Z543" s="167"/>
      <c r="AA543" s="167"/>
      <c r="AB543" s="792"/>
      <c r="AC543" s="789"/>
      <c r="AD543" s="789"/>
      <c r="AE543" s="149"/>
      <c r="AF543" s="149"/>
      <c r="AG543" s="789"/>
      <c r="AH543" s="149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</row>
    <row r="544" spans="2:49" s="64" customFormat="1">
      <c r="B544" s="63"/>
      <c r="C544" s="147"/>
      <c r="D544" s="186"/>
      <c r="E544" s="167"/>
      <c r="F544" s="167"/>
      <c r="G544" s="167"/>
      <c r="H544" s="715"/>
      <c r="I544" s="167"/>
      <c r="J544" s="715"/>
      <c r="K544" s="167"/>
      <c r="L544" s="167"/>
      <c r="M544" s="715"/>
      <c r="N544" s="167"/>
      <c r="O544" s="715"/>
      <c r="P544" s="167"/>
      <c r="Q544" s="167"/>
      <c r="R544" s="167"/>
      <c r="S544" s="167"/>
      <c r="T544" s="167"/>
      <c r="U544" s="167"/>
      <c r="V544" s="715"/>
      <c r="W544" s="167"/>
      <c r="X544" s="715"/>
      <c r="Y544" s="715"/>
      <c r="Z544" s="167"/>
      <c r="AA544" s="167"/>
      <c r="AB544" s="792"/>
      <c r="AC544" s="789"/>
      <c r="AD544" s="789"/>
      <c r="AE544" s="149"/>
      <c r="AF544" s="149"/>
      <c r="AG544" s="789"/>
      <c r="AH544" s="149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</row>
    <row r="545" spans="2:49" s="64" customFormat="1">
      <c r="B545" s="63"/>
      <c r="C545" s="147"/>
      <c r="D545" s="186"/>
      <c r="E545" s="167"/>
      <c r="F545" s="167"/>
      <c r="G545" s="167"/>
      <c r="H545" s="715"/>
      <c r="I545" s="167"/>
      <c r="J545" s="715"/>
      <c r="K545" s="167"/>
      <c r="L545" s="167"/>
      <c r="M545" s="715"/>
      <c r="N545" s="167"/>
      <c r="O545" s="715"/>
      <c r="P545" s="167"/>
      <c r="Q545" s="167"/>
      <c r="R545" s="167"/>
      <c r="S545" s="167"/>
      <c r="T545" s="167"/>
      <c r="U545" s="167"/>
      <c r="V545" s="715"/>
      <c r="W545" s="167"/>
      <c r="X545" s="715"/>
      <c r="Y545" s="715"/>
      <c r="Z545" s="167"/>
      <c r="AA545" s="167"/>
      <c r="AB545" s="792"/>
      <c r="AC545" s="789"/>
      <c r="AD545" s="789"/>
      <c r="AE545" s="149"/>
      <c r="AF545" s="149"/>
      <c r="AG545" s="789"/>
      <c r="AH545" s="149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</row>
    <row r="546" spans="2:49" s="64" customFormat="1">
      <c r="B546" s="63"/>
      <c r="C546" s="147"/>
      <c r="D546" s="186"/>
      <c r="E546" s="167"/>
      <c r="F546" s="167"/>
      <c r="G546" s="167"/>
      <c r="H546" s="715"/>
      <c r="I546" s="167"/>
      <c r="J546" s="715"/>
      <c r="K546" s="167"/>
      <c r="L546" s="167"/>
      <c r="M546" s="715"/>
      <c r="N546" s="167"/>
      <c r="O546" s="715"/>
      <c r="P546" s="167"/>
      <c r="Q546" s="167"/>
      <c r="R546" s="167"/>
      <c r="S546" s="167"/>
      <c r="T546" s="167"/>
      <c r="U546" s="167"/>
      <c r="V546" s="715"/>
      <c r="W546" s="167"/>
      <c r="X546" s="715"/>
      <c r="Y546" s="715"/>
      <c r="Z546" s="167"/>
      <c r="AA546" s="167"/>
      <c r="AB546" s="792"/>
      <c r="AC546" s="789"/>
      <c r="AD546" s="789"/>
      <c r="AE546" s="149"/>
      <c r="AF546" s="149"/>
      <c r="AG546" s="789"/>
      <c r="AH546" s="149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</row>
    <row r="547" spans="2:49" s="64" customFormat="1">
      <c r="B547" s="63"/>
      <c r="C547" s="147"/>
      <c r="D547" s="186"/>
      <c r="E547" s="167"/>
      <c r="F547" s="167"/>
      <c r="G547" s="167"/>
      <c r="H547" s="715"/>
      <c r="I547" s="167"/>
      <c r="J547" s="715"/>
      <c r="K547" s="167"/>
      <c r="L547" s="167"/>
      <c r="M547" s="715"/>
      <c r="N547" s="167"/>
      <c r="O547" s="715"/>
      <c r="P547" s="167"/>
      <c r="Q547" s="167"/>
      <c r="R547" s="167"/>
      <c r="S547" s="167"/>
      <c r="T547" s="167"/>
      <c r="U547" s="167"/>
      <c r="V547" s="715"/>
      <c r="W547" s="167"/>
      <c r="X547" s="715"/>
      <c r="Y547" s="715"/>
      <c r="Z547" s="167"/>
      <c r="AA547" s="167"/>
      <c r="AB547" s="792"/>
      <c r="AC547" s="789"/>
      <c r="AD547" s="789"/>
      <c r="AE547" s="149"/>
      <c r="AF547" s="149"/>
      <c r="AG547" s="789"/>
      <c r="AH547" s="149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</row>
    <row r="548" spans="2:49" s="64" customFormat="1">
      <c r="B548" s="63"/>
      <c r="C548" s="147"/>
      <c r="D548" s="186"/>
      <c r="E548" s="167"/>
      <c r="F548" s="167"/>
      <c r="G548" s="167"/>
      <c r="H548" s="715"/>
      <c r="I548" s="167"/>
      <c r="J548" s="715"/>
      <c r="K548" s="167"/>
      <c r="L548" s="167"/>
      <c r="M548" s="715"/>
      <c r="N548" s="167"/>
      <c r="O548" s="715"/>
      <c r="P548" s="167"/>
      <c r="Q548" s="167"/>
      <c r="R548" s="167"/>
      <c r="S548" s="167"/>
      <c r="T548" s="167"/>
      <c r="U548" s="167"/>
      <c r="V548" s="715"/>
      <c r="W548" s="167"/>
      <c r="X548" s="715"/>
      <c r="Y548" s="715"/>
      <c r="Z548" s="167"/>
      <c r="AA548" s="167"/>
      <c r="AB548" s="792"/>
      <c r="AC548" s="789"/>
      <c r="AD548" s="789"/>
      <c r="AE548" s="149"/>
      <c r="AF548" s="149"/>
      <c r="AG548" s="789"/>
      <c r="AH548" s="149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</row>
    <row r="549" spans="2:49" s="64" customFormat="1">
      <c r="B549" s="63"/>
      <c r="C549" s="147"/>
      <c r="D549" s="186"/>
      <c r="E549" s="167"/>
      <c r="F549" s="167"/>
      <c r="G549" s="167"/>
      <c r="H549" s="715"/>
      <c r="I549" s="167"/>
      <c r="J549" s="715"/>
      <c r="K549" s="167"/>
      <c r="L549" s="167"/>
      <c r="M549" s="715"/>
      <c r="N549" s="167"/>
      <c r="O549" s="715"/>
      <c r="P549" s="167"/>
      <c r="Q549" s="167"/>
      <c r="R549" s="167"/>
      <c r="S549" s="167"/>
      <c r="T549" s="167"/>
      <c r="U549" s="167"/>
      <c r="V549" s="715"/>
      <c r="W549" s="167"/>
      <c r="X549" s="715"/>
      <c r="Y549" s="715"/>
      <c r="Z549" s="167"/>
      <c r="AA549" s="167"/>
      <c r="AB549" s="792"/>
      <c r="AC549" s="789"/>
      <c r="AD549" s="789"/>
      <c r="AE549" s="149"/>
      <c r="AF549" s="149"/>
      <c r="AG549" s="789"/>
      <c r="AH549" s="149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</row>
    <row r="550" spans="2:49" s="64" customFormat="1">
      <c r="B550" s="63"/>
      <c r="C550" s="147"/>
      <c r="D550" s="186"/>
      <c r="E550" s="167"/>
      <c r="F550" s="167"/>
      <c r="G550" s="167"/>
      <c r="H550" s="715"/>
      <c r="I550" s="167"/>
      <c r="J550" s="715"/>
      <c r="K550" s="167"/>
      <c r="L550" s="167"/>
      <c r="M550" s="715"/>
      <c r="N550" s="167"/>
      <c r="O550" s="715"/>
      <c r="P550" s="167"/>
      <c r="Q550" s="167"/>
      <c r="R550" s="167"/>
      <c r="S550" s="167"/>
      <c r="T550" s="167"/>
      <c r="U550" s="167"/>
      <c r="V550" s="715"/>
      <c r="W550" s="167"/>
      <c r="X550" s="715"/>
      <c r="Y550" s="715"/>
      <c r="Z550" s="167"/>
      <c r="AA550" s="167"/>
      <c r="AB550" s="792"/>
      <c r="AC550" s="789"/>
      <c r="AD550" s="789"/>
      <c r="AE550" s="149"/>
      <c r="AF550" s="149"/>
      <c r="AG550" s="789"/>
      <c r="AH550" s="149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</row>
    <row r="551" spans="2:49" s="64" customFormat="1">
      <c r="B551" s="63"/>
      <c r="C551" s="147"/>
      <c r="D551" s="186"/>
      <c r="E551" s="167"/>
      <c r="F551" s="167"/>
      <c r="G551" s="167"/>
      <c r="H551" s="715"/>
      <c r="I551" s="167"/>
      <c r="J551" s="715"/>
      <c r="K551" s="167"/>
      <c r="L551" s="167"/>
      <c r="M551" s="715"/>
      <c r="N551" s="167"/>
      <c r="O551" s="715"/>
      <c r="P551" s="167"/>
      <c r="Q551" s="167"/>
      <c r="R551" s="167"/>
      <c r="S551" s="167"/>
      <c r="T551" s="167"/>
      <c r="U551" s="167"/>
      <c r="V551" s="715"/>
      <c r="W551" s="167"/>
      <c r="X551" s="715"/>
      <c r="Y551" s="715"/>
      <c r="Z551" s="167"/>
      <c r="AA551" s="167"/>
      <c r="AB551" s="792"/>
      <c r="AC551" s="789"/>
      <c r="AD551" s="789"/>
      <c r="AE551" s="149"/>
      <c r="AF551" s="149"/>
      <c r="AG551" s="789"/>
      <c r="AH551" s="149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</row>
    <row r="552" spans="2:49" s="64" customFormat="1">
      <c r="B552" s="63"/>
      <c r="C552" s="147"/>
      <c r="D552" s="186"/>
      <c r="E552" s="167"/>
      <c r="F552" s="167"/>
      <c r="G552" s="167"/>
      <c r="H552" s="715"/>
      <c r="I552" s="167"/>
      <c r="J552" s="715"/>
      <c r="K552" s="167"/>
      <c r="L552" s="167"/>
      <c r="M552" s="715"/>
      <c r="N552" s="167"/>
      <c r="O552" s="715"/>
      <c r="P552" s="167"/>
      <c r="Q552" s="167"/>
      <c r="R552" s="167"/>
      <c r="S552" s="167"/>
      <c r="T552" s="167"/>
      <c r="U552" s="167"/>
      <c r="V552" s="715"/>
      <c r="W552" s="167"/>
      <c r="X552" s="715"/>
      <c r="Y552" s="715"/>
      <c r="Z552" s="167"/>
      <c r="AA552" s="167"/>
      <c r="AB552" s="792"/>
      <c r="AC552" s="789"/>
      <c r="AD552" s="789"/>
      <c r="AE552" s="149"/>
      <c r="AF552" s="149"/>
      <c r="AG552" s="789"/>
      <c r="AH552" s="149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</row>
    <row r="553" spans="2:49" s="64" customFormat="1">
      <c r="B553" s="63"/>
      <c r="C553" s="147"/>
      <c r="D553" s="186"/>
      <c r="E553" s="167"/>
      <c r="F553" s="167"/>
      <c r="G553" s="167"/>
      <c r="H553" s="715"/>
      <c r="I553" s="167"/>
      <c r="J553" s="715"/>
      <c r="K553" s="167"/>
      <c r="L553" s="167"/>
      <c r="M553" s="715"/>
      <c r="N553" s="167"/>
      <c r="O553" s="715"/>
      <c r="P553" s="167"/>
      <c r="Q553" s="167"/>
      <c r="R553" s="167"/>
      <c r="S553" s="167"/>
      <c r="T553" s="167"/>
      <c r="U553" s="167"/>
      <c r="V553" s="715"/>
      <c r="W553" s="167"/>
      <c r="X553" s="715"/>
      <c r="Y553" s="715"/>
      <c r="Z553" s="167"/>
      <c r="AA553" s="167"/>
      <c r="AB553" s="792"/>
      <c r="AC553" s="789"/>
      <c r="AD553" s="789"/>
      <c r="AE553" s="149"/>
      <c r="AF553" s="149"/>
      <c r="AG553" s="789"/>
      <c r="AH553" s="149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</row>
    <row r="554" spans="2:49" s="64" customFormat="1">
      <c r="B554" s="63"/>
      <c r="C554" s="147"/>
      <c r="D554" s="186"/>
      <c r="E554" s="167"/>
      <c r="F554" s="167"/>
      <c r="G554" s="167"/>
      <c r="H554" s="715"/>
      <c r="I554" s="167"/>
      <c r="J554" s="715"/>
      <c r="K554" s="167"/>
      <c r="L554" s="167"/>
      <c r="M554" s="715"/>
      <c r="N554" s="167"/>
      <c r="O554" s="715"/>
      <c r="P554" s="167"/>
      <c r="Q554" s="167"/>
      <c r="R554" s="167"/>
      <c r="S554" s="167"/>
      <c r="T554" s="167"/>
      <c r="U554" s="167"/>
      <c r="V554" s="715"/>
      <c r="W554" s="167"/>
      <c r="X554" s="715"/>
      <c r="Y554" s="715"/>
      <c r="Z554" s="167"/>
      <c r="AA554" s="167"/>
      <c r="AB554" s="792"/>
      <c r="AC554" s="789"/>
      <c r="AD554" s="789"/>
      <c r="AE554" s="149"/>
      <c r="AF554" s="149"/>
      <c r="AG554" s="789"/>
      <c r="AH554" s="149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</row>
    <row r="555" spans="2:49" s="64" customFormat="1">
      <c r="B555" s="63"/>
      <c r="C555" s="147"/>
      <c r="D555" s="186"/>
      <c r="E555" s="167"/>
      <c r="F555" s="167"/>
      <c r="G555" s="167"/>
      <c r="H555" s="715"/>
      <c r="I555" s="167"/>
      <c r="J555" s="715"/>
      <c r="K555" s="167"/>
      <c r="L555" s="167"/>
      <c r="M555" s="715"/>
      <c r="N555" s="167"/>
      <c r="O555" s="715"/>
      <c r="P555" s="167"/>
      <c r="Q555" s="167"/>
      <c r="R555" s="167"/>
      <c r="S555" s="167"/>
      <c r="T555" s="167"/>
      <c r="U555" s="167"/>
      <c r="V555" s="715"/>
      <c r="W555" s="167"/>
      <c r="X555" s="715"/>
      <c r="Y555" s="715"/>
      <c r="Z555" s="167"/>
      <c r="AA555" s="167"/>
      <c r="AB555" s="792"/>
      <c r="AC555" s="789"/>
      <c r="AD555" s="789"/>
      <c r="AE555" s="149"/>
      <c r="AF555" s="149"/>
      <c r="AG555" s="789"/>
      <c r="AH555" s="149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</row>
    <row r="556" spans="2:49" s="64" customFormat="1">
      <c r="B556" s="63"/>
      <c r="C556" s="147"/>
      <c r="D556" s="186"/>
      <c r="E556" s="167"/>
      <c r="F556" s="167"/>
      <c r="G556" s="167"/>
      <c r="H556" s="715"/>
      <c r="I556" s="167"/>
      <c r="J556" s="715"/>
      <c r="K556" s="167"/>
      <c r="L556" s="167"/>
      <c r="M556" s="715"/>
      <c r="N556" s="167"/>
      <c r="O556" s="715"/>
      <c r="P556" s="167"/>
      <c r="Q556" s="167"/>
      <c r="R556" s="167"/>
      <c r="S556" s="167"/>
      <c r="T556" s="167"/>
      <c r="U556" s="167"/>
      <c r="V556" s="715"/>
      <c r="W556" s="167"/>
      <c r="X556" s="715"/>
      <c r="Y556" s="715"/>
      <c r="Z556" s="167"/>
      <c r="AA556" s="167"/>
      <c r="AB556" s="792"/>
      <c r="AC556" s="789"/>
      <c r="AD556" s="789"/>
      <c r="AE556" s="149"/>
      <c r="AF556" s="149"/>
      <c r="AG556" s="789"/>
      <c r="AH556" s="149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</row>
    <row r="557" spans="2:49" s="64" customFormat="1">
      <c r="B557" s="63"/>
      <c r="C557" s="147"/>
      <c r="D557" s="186"/>
      <c r="E557" s="167"/>
      <c r="F557" s="167"/>
      <c r="G557" s="167"/>
      <c r="H557" s="715"/>
      <c r="I557" s="167"/>
      <c r="J557" s="715"/>
      <c r="K557" s="167"/>
      <c r="L557" s="167"/>
      <c r="M557" s="715"/>
      <c r="N557" s="167"/>
      <c r="O557" s="715"/>
      <c r="P557" s="167"/>
      <c r="Q557" s="167"/>
      <c r="R557" s="167"/>
      <c r="S557" s="167"/>
      <c r="T557" s="167"/>
      <c r="U557" s="167"/>
      <c r="V557" s="715"/>
      <c r="W557" s="167"/>
      <c r="X557" s="715"/>
      <c r="Y557" s="715"/>
      <c r="Z557" s="167"/>
      <c r="AA557" s="167"/>
      <c r="AB557" s="792"/>
      <c r="AC557" s="789"/>
      <c r="AD557" s="789"/>
      <c r="AE557" s="149"/>
      <c r="AF557" s="149"/>
      <c r="AG557" s="789"/>
      <c r="AH557" s="149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</row>
    <row r="558" spans="2:49" s="64" customFormat="1">
      <c r="B558" s="63"/>
      <c r="C558" s="147"/>
      <c r="D558" s="186"/>
      <c r="E558" s="167"/>
      <c r="F558" s="167"/>
      <c r="G558" s="167"/>
      <c r="H558" s="715"/>
      <c r="I558" s="167"/>
      <c r="J558" s="715"/>
      <c r="K558" s="167"/>
      <c r="L558" s="167"/>
      <c r="M558" s="715"/>
      <c r="N558" s="167"/>
      <c r="O558" s="715"/>
      <c r="P558" s="167"/>
      <c r="Q558" s="167"/>
      <c r="R558" s="167"/>
      <c r="S558" s="167"/>
      <c r="T558" s="167"/>
      <c r="U558" s="167"/>
      <c r="V558" s="715"/>
      <c r="W558" s="167"/>
      <c r="X558" s="715"/>
      <c r="Y558" s="715"/>
      <c r="Z558" s="167"/>
      <c r="AA558" s="167"/>
      <c r="AB558" s="792"/>
      <c r="AC558" s="789"/>
      <c r="AD558" s="789"/>
      <c r="AE558" s="149"/>
      <c r="AF558" s="149"/>
      <c r="AG558" s="789"/>
      <c r="AH558" s="149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</row>
    <row r="559" spans="2:49" s="64" customFormat="1">
      <c r="B559" s="63"/>
      <c r="C559" s="147"/>
      <c r="D559" s="186"/>
      <c r="E559" s="167"/>
      <c r="F559" s="167"/>
      <c r="G559" s="167"/>
      <c r="H559" s="715"/>
      <c r="I559" s="167"/>
      <c r="J559" s="715"/>
      <c r="K559" s="167"/>
      <c r="L559" s="167"/>
      <c r="M559" s="715"/>
      <c r="N559" s="167"/>
      <c r="O559" s="715"/>
      <c r="P559" s="167"/>
      <c r="Q559" s="167"/>
      <c r="R559" s="167"/>
      <c r="S559" s="167"/>
      <c r="T559" s="167"/>
      <c r="U559" s="167"/>
      <c r="V559" s="715"/>
      <c r="W559" s="167"/>
      <c r="X559" s="715"/>
      <c r="Y559" s="715"/>
      <c r="Z559" s="167"/>
      <c r="AA559" s="167"/>
      <c r="AB559" s="792"/>
      <c r="AC559" s="789"/>
      <c r="AD559" s="789"/>
      <c r="AE559" s="149"/>
      <c r="AF559" s="149"/>
      <c r="AG559" s="789"/>
      <c r="AH559" s="149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</row>
    <row r="560" spans="2:49" s="64" customFormat="1">
      <c r="B560" s="63"/>
      <c r="C560" s="147"/>
      <c r="D560" s="186"/>
      <c r="E560" s="167"/>
      <c r="F560" s="167"/>
      <c r="G560" s="167"/>
      <c r="H560" s="715"/>
      <c r="I560" s="167"/>
      <c r="J560" s="715"/>
      <c r="K560" s="167"/>
      <c r="L560" s="167"/>
      <c r="M560" s="715"/>
      <c r="N560" s="167"/>
      <c r="O560" s="715"/>
      <c r="P560" s="167"/>
      <c r="Q560" s="167"/>
      <c r="R560" s="167"/>
      <c r="S560" s="167"/>
      <c r="T560" s="167"/>
      <c r="U560" s="167"/>
      <c r="V560" s="715"/>
      <c r="W560" s="167"/>
      <c r="X560" s="715"/>
      <c r="Y560" s="715"/>
      <c r="Z560" s="167"/>
      <c r="AA560" s="167"/>
      <c r="AB560" s="792"/>
      <c r="AC560" s="164"/>
      <c r="AD560" s="164"/>
      <c r="AE560" s="149"/>
      <c r="AF560" s="149"/>
      <c r="AG560" s="151"/>
      <c r="AH560" s="149"/>
      <c r="AI560" s="152"/>
      <c r="AJ560" s="152"/>
      <c r="AK560" s="152"/>
      <c r="AL560" s="152"/>
      <c r="AM560" s="152"/>
      <c r="AN560" s="152"/>
      <c r="AO560" s="165"/>
      <c r="AP560" s="152"/>
      <c r="AQ560" s="165"/>
      <c r="AR560" s="165"/>
      <c r="AS560" s="152"/>
      <c r="AT560" s="152"/>
      <c r="AU560" s="152"/>
      <c r="AV560" s="152"/>
      <c r="AW560" s="152"/>
    </row>
    <row r="561" spans="2:49" s="64" customFormat="1">
      <c r="B561" s="63"/>
      <c r="C561" s="147"/>
      <c r="D561" s="186"/>
      <c r="E561" s="167"/>
      <c r="F561" s="167"/>
      <c r="G561" s="167"/>
      <c r="H561" s="715"/>
      <c r="I561" s="167"/>
      <c r="J561" s="715"/>
      <c r="K561" s="167"/>
      <c r="L561" s="167"/>
      <c r="M561" s="715"/>
      <c r="N561" s="167"/>
      <c r="O561" s="715"/>
      <c r="P561" s="167"/>
      <c r="Q561" s="167"/>
      <c r="R561" s="167"/>
      <c r="S561" s="167"/>
      <c r="T561" s="167"/>
      <c r="U561" s="167"/>
      <c r="V561" s="715"/>
      <c r="W561" s="167"/>
      <c r="X561" s="715"/>
      <c r="Y561" s="715"/>
      <c r="Z561" s="167"/>
      <c r="AA561" s="167"/>
      <c r="AB561" s="792"/>
      <c r="AC561" s="164"/>
      <c r="AD561" s="164"/>
      <c r="AE561" s="149"/>
      <c r="AF561" s="149"/>
      <c r="AG561" s="151"/>
      <c r="AH561" s="149"/>
      <c r="AI561" s="152"/>
      <c r="AJ561" s="152"/>
      <c r="AK561" s="152"/>
      <c r="AL561" s="152"/>
      <c r="AM561" s="152"/>
      <c r="AN561" s="152"/>
      <c r="AO561" s="165"/>
      <c r="AP561" s="152"/>
      <c r="AQ561" s="165"/>
      <c r="AR561" s="165"/>
      <c r="AS561" s="152"/>
      <c r="AT561" s="152"/>
      <c r="AU561" s="152"/>
      <c r="AV561" s="152"/>
      <c r="AW561" s="152"/>
    </row>
    <row r="562" spans="2:49" s="64" customFormat="1">
      <c r="B562" s="63"/>
      <c r="C562" s="147"/>
      <c r="D562" s="186"/>
      <c r="E562" s="167"/>
      <c r="F562" s="167"/>
      <c r="G562" s="167"/>
      <c r="H562" s="715"/>
      <c r="I562" s="167"/>
      <c r="J562" s="715"/>
      <c r="K562" s="167"/>
      <c r="L562" s="167"/>
      <c r="M562" s="715"/>
      <c r="N562" s="167"/>
      <c r="O562" s="715"/>
      <c r="P562" s="167"/>
      <c r="Q562" s="167"/>
      <c r="R562" s="167"/>
      <c r="S562" s="167"/>
      <c r="T562" s="167"/>
      <c r="U562" s="167"/>
      <c r="V562" s="715"/>
      <c r="W562" s="167"/>
      <c r="X562" s="715"/>
      <c r="Y562" s="715"/>
      <c r="Z562" s="167"/>
      <c r="AA562" s="167"/>
      <c r="AB562" s="792"/>
      <c r="AC562" s="164"/>
      <c r="AD562" s="164"/>
      <c r="AE562" s="149"/>
      <c r="AF562" s="149"/>
      <c r="AG562" s="151"/>
      <c r="AH562" s="149"/>
      <c r="AI562" s="152"/>
      <c r="AJ562" s="152"/>
      <c r="AK562" s="152"/>
      <c r="AL562" s="152"/>
      <c r="AM562" s="152"/>
      <c r="AN562" s="152"/>
      <c r="AO562" s="165"/>
      <c r="AP562" s="152"/>
      <c r="AQ562" s="165"/>
      <c r="AR562" s="165"/>
      <c r="AS562" s="152"/>
      <c r="AT562" s="152"/>
      <c r="AU562" s="152"/>
      <c r="AV562" s="152"/>
      <c r="AW562" s="152"/>
    </row>
    <row r="563" spans="2:49" s="64" customFormat="1">
      <c r="B563" s="63"/>
      <c r="C563" s="147"/>
      <c r="D563" s="186"/>
      <c r="E563" s="167"/>
      <c r="F563" s="167"/>
      <c r="G563" s="167"/>
      <c r="H563" s="715"/>
      <c r="I563" s="167"/>
      <c r="J563" s="715"/>
      <c r="K563" s="167"/>
      <c r="L563" s="167"/>
      <c r="M563" s="715"/>
      <c r="N563" s="167"/>
      <c r="O563" s="715"/>
      <c r="P563" s="167"/>
      <c r="Q563" s="167"/>
      <c r="R563" s="167"/>
      <c r="S563" s="167"/>
      <c r="T563" s="167"/>
      <c r="U563" s="167"/>
      <c r="V563" s="715"/>
      <c r="W563" s="167"/>
      <c r="X563" s="715"/>
      <c r="Y563" s="715"/>
      <c r="Z563" s="167"/>
      <c r="AA563" s="167"/>
      <c r="AB563" s="792"/>
      <c r="AC563" s="164"/>
      <c r="AD563" s="164"/>
      <c r="AE563" s="149"/>
      <c r="AF563" s="149"/>
      <c r="AG563" s="151"/>
      <c r="AH563" s="149"/>
      <c r="AI563" s="152"/>
      <c r="AJ563" s="152"/>
      <c r="AK563" s="152"/>
      <c r="AL563" s="152"/>
      <c r="AM563" s="152"/>
      <c r="AN563" s="152"/>
      <c r="AO563" s="165"/>
      <c r="AP563" s="152"/>
      <c r="AQ563" s="165"/>
      <c r="AR563" s="165"/>
      <c r="AS563" s="152"/>
      <c r="AT563" s="152"/>
      <c r="AU563" s="152"/>
      <c r="AV563" s="152"/>
      <c r="AW563" s="152"/>
    </row>
    <row r="564" spans="2:49" s="64" customFormat="1">
      <c r="B564" s="63"/>
      <c r="C564" s="147"/>
      <c r="D564" s="186"/>
      <c r="E564" s="167"/>
      <c r="F564" s="167"/>
      <c r="G564" s="167"/>
      <c r="H564" s="715"/>
      <c r="I564" s="167"/>
      <c r="J564" s="715"/>
      <c r="K564" s="167"/>
      <c r="L564" s="167"/>
      <c r="M564" s="715"/>
      <c r="N564" s="167"/>
      <c r="O564" s="715"/>
      <c r="P564" s="167"/>
      <c r="Q564" s="167"/>
      <c r="R564" s="167"/>
      <c r="S564" s="167"/>
      <c r="T564" s="167"/>
      <c r="U564" s="167"/>
      <c r="V564" s="715"/>
      <c r="W564" s="167"/>
      <c r="X564" s="715"/>
      <c r="Y564" s="715"/>
      <c r="Z564" s="167"/>
      <c r="AA564" s="167"/>
      <c r="AB564" s="792"/>
      <c r="AC564" s="164"/>
      <c r="AD564" s="164"/>
      <c r="AE564" s="149"/>
      <c r="AF564" s="149"/>
      <c r="AG564" s="151"/>
      <c r="AH564" s="149"/>
      <c r="AI564" s="152"/>
      <c r="AJ564" s="152"/>
      <c r="AK564" s="152"/>
      <c r="AL564" s="152"/>
      <c r="AM564" s="152"/>
      <c r="AN564" s="152"/>
      <c r="AO564" s="165"/>
      <c r="AP564" s="152"/>
      <c r="AQ564" s="165"/>
      <c r="AR564" s="165"/>
      <c r="AS564" s="152"/>
      <c r="AT564" s="152"/>
      <c r="AU564" s="152"/>
      <c r="AV564" s="152"/>
      <c r="AW564" s="152"/>
    </row>
    <row r="565" spans="2:49" s="64" customFormat="1">
      <c r="B565" s="63"/>
      <c r="C565" s="147"/>
      <c r="D565" s="186"/>
      <c r="E565" s="167"/>
      <c r="F565" s="167"/>
      <c r="G565" s="167"/>
      <c r="H565" s="715"/>
      <c r="I565" s="167"/>
      <c r="J565" s="715"/>
      <c r="K565" s="167"/>
      <c r="L565" s="167"/>
      <c r="M565" s="715"/>
      <c r="N565" s="167"/>
      <c r="O565" s="715"/>
      <c r="P565" s="167"/>
      <c r="Q565" s="167"/>
      <c r="R565" s="167"/>
      <c r="S565" s="167"/>
      <c r="T565" s="167"/>
      <c r="U565" s="167"/>
      <c r="V565" s="715"/>
      <c r="W565" s="167"/>
      <c r="X565" s="715"/>
      <c r="Y565" s="715"/>
      <c r="Z565" s="167"/>
      <c r="AA565" s="167"/>
      <c r="AB565" s="792"/>
      <c r="AC565" s="164"/>
      <c r="AD565" s="164"/>
      <c r="AE565" s="149"/>
      <c r="AF565" s="149"/>
      <c r="AG565" s="151"/>
      <c r="AH565" s="149"/>
      <c r="AI565" s="152"/>
      <c r="AJ565" s="152"/>
      <c r="AK565" s="152"/>
      <c r="AL565" s="152"/>
      <c r="AM565" s="152"/>
      <c r="AN565" s="152"/>
      <c r="AO565" s="165"/>
      <c r="AP565" s="152"/>
      <c r="AQ565" s="165"/>
      <c r="AR565" s="165"/>
      <c r="AS565" s="152"/>
      <c r="AT565" s="152"/>
      <c r="AU565" s="152"/>
      <c r="AV565" s="152"/>
      <c r="AW565" s="152"/>
    </row>
    <row r="566" spans="2:49" s="64" customFormat="1">
      <c r="B566" s="63"/>
      <c r="C566" s="147"/>
      <c r="D566" s="186"/>
      <c r="E566" s="167"/>
      <c r="F566" s="167"/>
      <c r="G566" s="167"/>
      <c r="H566" s="715"/>
      <c r="I566" s="167"/>
      <c r="J566" s="715"/>
      <c r="K566" s="167"/>
      <c r="L566" s="167"/>
      <c r="M566" s="715"/>
      <c r="N566" s="167"/>
      <c r="O566" s="715"/>
      <c r="P566" s="167"/>
      <c r="Q566" s="167"/>
      <c r="R566" s="167"/>
      <c r="S566" s="167"/>
      <c r="T566" s="167"/>
      <c r="U566" s="167"/>
      <c r="V566" s="715"/>
      <c r="W566" s="167"/>
      <c r="X566" s="715"/>
      <c r="Y566" s="715"/>
      <c r="Z566" s="167"/>
      <c r="AA566" s="167"/>
      <c r="AB566" s="792"/>
      <c r="AC566" s="164"/>
      <c r="AD566" s="164"/>
      <c r="AE566" s="149"/>
      <c r="AF566" s="149"/>
      <c r="AG566" s="151"/>
      <c r="AH566" s="149"/>
      <c r="AI566" s="152"/>
      <c r="AJ566" s="152"/>
      <c r="AK566" s="152"/>
      <c r="AL566" s="152"/>
      <c r="AM566" s="152"/>
      <c r="AN566" s="152"/>
      <c r="AO566" s="165"/>
      <c r="AP566" s="152"/>
      <c r="AQ566" s="165"/>
      <c r="AR566" s="165"/>
      <c r="AS566" s="152"/>
      <c r="AT566" s="152"/>
      <c r="AU566" s="152"/>
      <c r="AV566" s="152"/>
      <c r="AW566" s="152"/>
    </row>
    <row r="567" spans="2:49" s="64" customFormat="1">
      <c r="B567" s="95"/>
      <c r="C567" s="148"/>
      <c r="D567" s="190"/>
      <c r="E567" s="175"/>
      <c r="F567" s="175"/>
      <c r="G567" s="175"/>
      <c r="H567" s="790"/>
      <c r="I567" s="175"/>
      <c r="J567" s="790"/>
      <c r="K567" s="175"/>
      <c r="L567" s="175"/>
      <c r="M567" s="790"/>
      <c r="N567" s="175"/>
      <c r="O567" s="790"/>
      <c r="P567" s="175"/>
      <c r="Q567" s="175"/>
      <c r="R567" s="175"/>
      <c r="S567" s="167"/>
      <c r="T567" s="167"/>
      <c r="U567" s="175"/>
      <c r="V567" s="791"/>
      <c r="W567" s="175"/>
      <c r="X567" s="791"/>
      <c r="Y567" s="791"/>
      <c r="Z567" s="175"/>
      <c r="AA567" s="175"/>
      <c r="AB567" s="792"/>
      <c r="AC567" s="150"/>
      <c r="AD567" s="150"/>
      <c r="AE567" s="166"/>
      <c r="AF567" s="166"/>
      <c r="AG567" s="151"/>
      <c r="AH567" s="149"/>
      <c r="AI567" s="152"/>
      <c r="AJ567" s="152"/>
      <c r="AK567" s="152"/>
      <c r="AL567" s="152"/>
      <c r="AM567" s="152"/>
      <c r="AN567" s="152"/>
      <c r="AO567" s="165"/>
      <c r="AP567" s="152"/>
      <c r="AQ567" s="165"/>
      <c r="AR567" s="165"/>
      <c r="AS567" s="152"/>
      <c r="AT567" s="152"/>
      <c r="AU567" s="152"/>
      <c r="AV567" s="152"/>
      <c r="AW567" s="152"/>
    </row>
    <row r="568" spans="2:49" s="64" customFormat="1">
      <c r="B568" s="95"/>
      <c r="C568" s="148"/>
      <c r="D568" s="190"/>
      <c r="E568" s="175"/>
      <c r="F568" s="175"/>
      <c r="G568" s="175"/>
      <c r="H568" s="790"/>
      <c r="I568" s="175"/>
      <c r="J568" s="790"/>
      <c r="K568" s="175"/>
      <c r="L568" s="175"/>
      <c r="M568" s="790"/>
      <c r="N568" s="175"/>
      <c r="O568" s="790"/>
      <c r="P568" s="175"/>
      <c r="Q568" s="175"/>
      <c r="R568" s="175"/>
      <c r="S568" s="167"/>
      <c r="T568" s="167"/>
      <c r="U568" s="175"/>
      <c r="V568" s="791"/>
      <c r="W568" s="175"/>
      <c r="X568" s="791"/>
      <c r="Y568" s="791"/>
      <c r="Z568" s="175"/>
      <c r="AA568" s="175"/>
      <c r="AB568" s="792"/>
      <c r="AC568" s="150"/>
      <c r="AD568" s="150"/>
      <c r="AE568" s="166"/>
      <c r="AF568" s="166"/>
      <c r="AG568" s="151"/>
      <c r="AH568" s="149"/>
      <c r="AI568" s="152"/>
      <c r="AJ568" s="152"/>
      <c r="AK568" s="152"/>
      <c r="AL568" s="152"/>
      <c r="AM568" s="152"/>
      <c r="AN568" s="152"/>
      <c r="AO568" s="165"/>
      <c r="AP568" s="152"/>
      <c r="AQ568" s="165"/>
      <c r="AR568" s="165"/>
      <c r="AS568" s="152"/>
      <c r="AT568" s="152"/>
      <c r="AU568" s="152"/>
      <c r="AV568" s="152"/>
      <c r="AW568" s="152"/>
    </row>
    <row r="569" spans="2:49" s="64" customFormat="1">
      <c r="B569" s="95"/>
      <c r="C569" s="148"/>
      <c r="D569" s="190"/>
      <c r="E569" s="175"/>
      <c r="F569" s="175"/>
      <c r="G569" s="175"/>
      <c r="H569" s="790"/>
      <c r="I569" s="175"/>
      <c r="J569" s="790"/>
      <c r="K569" s="175"/>
      <c r="L569" s="175"/>
      <c r="M569" s="790"/>
      <c r="N569" s="175"/>
      <c r="O569" s="790"/>
      <c r="P569" s="175"/>
      <c r="Q569" s="175"/>
      <c r="R569" s="175"/>
      <c r="S569" s="167"/>
      <c r="T569" s="167"/>
      <c r="U569" s="175"/>
      <c r="V569" s="791"/>
      <c r="W569" s="175"/>
      <c r="X569" s="791"/>
      <c r="Y569" s="791"/>
      <c r="Z569" s="175"/>
      <c r="AA569" s="175"/>
      <c r="AB569" s="792"/>
      <c r="AC569" s="150"/>
      <c r="AD569" s="150"/>
      <c r="AE569" s="166"/>
      <c r="AF569" s="166"/>
      <c r="AG569" s="151"/>
      <c r="AH569" s="149"/>
      <c r="AI569" s="152"/>
      <c r="AJ569" s="152"/>
      <c r="AK569" s="152"/>
      <c r="AL569" s="152"/>
      <c r="AM569" s="152"/>
      <c r="AN569" s="152"/>
      <c r="AO569" s="165"/>
      <c r="AP569" s="152"/>
      <c r="AQ569" s="165"/>
      <c r="AR569" s="165"/>
      <c r="AS569" s="152"/>
      <c r="AT569" s="152"/>
      <c r="AU569" s="152"/>
      <c r="AV569" s="152"/>
      <c r="AW569" s="152"/>
    </row>
    <row r="570" spans="2:49" s="64" customFormat="1">
      <c r="B570" s="95"/>
      <c r="C570" s="148"/>
      <c r="D570" s="190"/>
      <c r="E570" s="175"/>
      <c r="F570" s="175"/>
      <c r="G570" s="175"/>
      <c r="H570" s="790"/>
      <c r="I570" s="175"/>
      <c r="J570" s="790"/>
      <c r="K570" s="175"/>
      <c r="L570" s="175"/>
      <c r="M570" s="790"/>
      <c r="N570" s="175"/>
      <c r="O570" s="790"/>
      <c r="P570" s="175"/>
      <c r="Q570" s="175"/>
      <c r="R570" s="175"/>
      <c r="S570" s="167"/>
      <c r="T570" s="167"/>
      <c r="U570" s="175"/>
      <c r="V570" s="791"/>
      <c r="W570" s="175"/>
      <c r="X570" s="791"/>
      <c r="Y570" s="791"/>
      <c r="Z570" s="175"/>
      <c r="AA570" s="175"/>
      <c r="AB570" s="792"/>
      <c r="AC570" s="150"/>
      <c r="AD570" s="150"/>
      <c r="AE570" s="166"/>
      <c r="AF570" s="166"/>
      <c r="AG570" s="151"/>
      <c r="AH570" s="149"/>
      <c r="AI570" s="152"/>
      <c r="AJ570" s="152"/>
      <c r="AK570" s="152"/>
      <c r="AL570" s="152"/>
      <c r="AM570" s="152"/>
      <c r="AN570" s="152"/>
      <c r="AO570" s="165"/>
      <c r="AP570" s="152"/>
      <c r="AQ570" s="165"/>
      <c r="AR570" s="165"/>
      <c r="AS570" s="152"/>
      <c r="AT570" s="152"/>
      <c r="AU570" s="152"/>
      <c r="AV570" s="152"/>
      <c r="AW570" s="152"/>
    </row>
    <row r="571" spans="2:49" s="64" customFormat="1">
      <c r="B571" s="95"/>
      <c r="C571" s="148"/>
      <c r="D571" s="190"/>
      <c r="E571" s="175"/>
      <c r="F571" s="175"/>
      <c r="G571" s="175"/>
      <c r="H571" s="790"/>
      <c r="I571" s="175"/>
      <c r="J571" s="790"/>
      <c r="K571" s="175"/>
      <c r="L571" s="175"/>
      <c r="M571" s="790"/>
      <c r="N571" s="175"/>
      <c r="O571" s="790"/>
      <c r="P571" s="175"/>
      <c r="Q571" s="175"/>
      <c r="R571" s="175"/>
      <c r="S571" s="167"/>
      <c r="T571" s="167"/>
      <c r="U571" s="175"/>
      <c r="V571" s="791"/>
      <c r="W571" s="175"/>
      <c r="X571" s="791"/>
      <c r="Y571" s="791"/>
      <c r="Z571" s="175"/>
      <c r="AA571" s="175"/>
      <c r="AB571" s="792"/>
      <c r="AC571" s="150"/>
      <c r="AD571" s="150"/>
      <c r="AE571" s="166"/>
      <c r="AF571" s="166"/>
      <c r="AG571" s="151"/>
      <c r="AH571" s="149"/>
      <c r="AI571" s="152"/>
      <c r="AJ571" s="152"/>
      <c r="AK571" s="152"/>
      <c r="AL571" s="152"/>
      <c r="AM571" s="152"/>
      <c r="AN571" s="152"/>
      <c r="AO571" s="165"/>
      <c r="AP571" s="152"/>
      <c r="AQ571" s="165"/>
      <c r="AR571" s="165"/>
      <c r="AS571" s="152"/>
      <c r="AT571" s="152"/>
      <c r="AU571" s="152"/>
      <c r="AV571" s="152"/>
      <c r="AW571" s="152"/>
    </row>
    <row r="572" spans="2:49" s="64" customFormat="1">
      <c r="B572" s="95"/>
      <c r="C572" s="148"/>
      <c r="D572" s="190"/>
      <c r="E572" s="175"/>
      <c r="F572" s="175"/>
      <c r="G572" s="175"/>
      <c r="H572" s="790"/>
      <c r="I572" s="175"/>
      <c r="J572" s="790"/>
      <c r="K572" s="175"/>
      <c r="L572" s="175"/>
      <c r="M572" s="790"/>
      <c r="N572" s="175"/>
      <c r="O572" s="790"/>
      <c r="P572" s="175"/>
      <c r="Q572" s="175"/>
      <c r="R572" s="175"/>
      <c r="S572" s="167"/>
      <c r="T572" s="167"/>
      <c r="U572" s="175"/>
      <c r="V572" s="791"/>
      <c r="W572" s="175"/>
      <c r="X572" s="791"/>
      <c r="Y572" s="791"/>
      <c r="Z572" s="175"/>
      <c r="AA572" s="175"/>
      <c r="AB572" s="792"/>
      <c r="AC572" s="150"/>
      <c r="AD572" s="150"/>
      <c r="AE572" s="166"/>
      <c r="AF572" s="166"/>
      <c r="AG572" s="151"/>
      <c r="AH572" s="149"/>
      <c r="AI572" s="152"/>
      <c r="AJ572" s="152"/>
      <c r="AK572" s="152"/>
      <c r="AL572" s="152"/>
      <c r="AM572" s="152"/>
      <c r="AN572" s="152"/>
      <c r="AO572" s="165"/>
      <c r="AP572" s="152"/>
      <c r="AQ572" s="165"/>
      <c r="AR572" s="165"/>
      <c r="AS572" s="152"/>
      <c r="AT572" s="152"/>
      <c r="AU572" s="152"/>
      <c r="AV572" s="152"/>
      <c r="AW572" s="152"/>
    </row>
    <row r="573" spans="2:49" s="64" customFormat="1">
      <c r="B573" s="95"/>
      <c r="C573" s="148"/>
      <c r="D573" s="190"/>
      <c r="E573" s="175"/>
      <c r="F573" s="175"/>
      <c r="G573" s="175"/>
      <c r="H573" s="790"/>
      <c r="I573" s="175"/>
      <c r="J573" s="790"/>
      <c r="K573" s="175"/>
      <c r="L573" s="175"/>
      <c r="M573" s="790"/>
      <c r="N573" s="175"/>
      <c r="O573" s="790"/>
      <c r="P573" s="175"/>
      <c r="Q573" s="175"/>
      <c r="R573" s="175"/>
      <c r="S573" s="167"/>
      <c r="T573" s="167"/>
      <c r="U573" s="175"/>
      <c r="V573" s="791"/>
      <c r="W573" s="175"/>
      <c r="X573" s="791"/>
      <c r="Y573" s="791"/>
      <c r="Z573" s="175"/>
      <c r="AA573" s="175"/>
      <c r="AB573" s="792"/>
      <c r="AC573" s="150"/>
      <c r="AD573" s="150"/>
      <c r="AE573" s="166"/>
      <c r="AF573" s="166"/>
      <c r="AG573" s="151"/>
      <c r="AH573" s="149"/>
      <c r="AI573" s="152"/>
      <c r="AJ573" s="152"/>
      <c r="AK573" s="152"/>
      <c r="AL573" s="152"/>
      <c r="AM573" s="152"/>
      <c r="AN573" s="152"/>
      <c r="AO573" s="165"/>
      <c r="AP573" s="152"/>
      <c r="AQ573" s="165"/>
      <c r="AR573" s="165"/>
      <c r="AS573" s="152"/>
      <c r="AT573" s="152"/>
      <c r="AU573" s="152"/>
      <c r="AV573" s="152"/>
      <c r="AW573" s="152"/>
    </row>
    <row r="574" spans="2:49" s="64" customFormat="1">
      <c r="B574" s="95"/>
      <c r="C574" s="148"/>
      <c r="D574" s="190"/>
      <c r="E574" s="175"/>
      <c r="F574" s="175"/>
      <c r="G574" s="175"/>
      <c r="H574" s="790"/>
      <c r="I574" s="175"/>
      <c r="J574" s="790"/>
      <c r="K574" s="175"/>
      <c r="L574" s="175"/>
      <c r="M574" s="790"/>
      <c r="N574" s="175"/>
      <c r="O574" s="790"/>
      <c r="P574" s="175"/>
      <c r="Q574" s="175"/>
      <c r="R574" s="175"/>
      <c r="S574" s="167"/>
      <c r="T574" s="167"/>
      <c r="U574" s="175"/>
      <c r="V574" s="791"/>
      <c r="W574" s="175"/>
      <c r="X574" s="791"/>
      <c r="Y574" s="791"/>
      <c r="Z574" s="175"/>
      <c r="AA574" s="175"/>
      <c r="AB574" s="792"/>
      <c r="AC574" s="150"/>
      <c r="AD574" s="150"/>
      <c r="AE574" s="166"/>
      <c r="AF574" s="166"/>
      <c r="AG574" s="151"/>
      <c r="AH574" s="149"/>
      <c r="AI574" s="152"/>
      <c r="AJ574" s="152"/>
      <c r="AK574" s="152"/>
      <c r="AL574" s="152"/>
      <c r="AM574" s="152"/>
      <c r="AN574" s="152"/>
      <c r="AO574" s="165"/>
      <c r="AP574" s="152"/>
      <c r="AQ574" s="165"/>
      <c r="AR574" s="165"/>
      <c r="AS574" s="152"/>
      <c r="AT574" s="152"/>
      <c r="AU574" s="152"/>
      <c r="AV574" s="152"/>
      <c r="AW574" s="152"/>
    </row>
    <row r="575" spans="2:49" s="64" customFormat="1">
      <c r="B575" s="95"/>
      <c r="C575" s="148"/>
      <c r="D575" s="190"/>
      <c r="E575" s="175"/>
      <c r="F575" s="175"/>
      <c r="G575" s="175"/>
      <c r="H575" s="790"/>
      <c r="I575" s="175"/>
      <c r="J575" s="790"/>
      <c r="K575" s="175"/>
      <c r="L575" s="175"/>
      <c r="M575" s="790"/>
      <c r="N575" s="175"/>
      <c r="O575" s="790"/>
      <c r="P575" s="175"/>
      <c r="Q575" s="175"/>
      <c r="R575" s="175"/>
      <c r="S575" s="167"/>
      <c r="T575" s="167"/>
      <c r="U575" s="175"/>
      <c r="V575" s="791"/>
      <c r="W575" s="175"/>
      <c r="X575" s="791"/>
      <c r="Y575" s="791"/>
      <c r="Z575" s="175"/>
      <c r="AA575" s="175"/>
      <c r="AB575" s="792"/>
      <c r="AC575" s="150"/>
      <c r="AD575" s="150"/>
      <c r="AE575" s="166"/>
      <c r="AF575" s="166"/>
      <c r="AG575" s="151"/>
      <c r="AH575" s="149"/>
      <c r="AI575" s="152"/>
      <c r="AJ575" s="152"/>
      <c r="AK575" s="152"/>
      <c r="AL575" s="152"/>
      <c r="AM575" s="152"/>
      <c r="AN575" s="152"/>
      <c r="AO575" s="165"/>
      <c r="AP575" s="152"/>
      <c r="AQ575" s="165"/>
      <c r="AR575" s="165"/>
      <c r="AS575" s="152"/>
      <c r="AT575" s="152"/>
      <c r="AU575" s="152"/>
      <c r="AV575" s="152"/>
      <c r="AW575" s="152"/>
    </row>
    <row r="576" spans="2:49" s="64" customFormat="1">
      <c r="B576" s="95"/>
      <c r="C576" s="148"/>
      <c r="D576" s="190"/>
      <c r="E576" s="175"/>
      <c r="F576" s="175"/>
      <c r="G576" s="175"/>
      <c r="H576" s="790"/>
      <c r="I576" s="175"/>
      <c r="J576" s="790"/>
      <c r="K576" s="175"/>
      <c r="L576" s="175"/>
      <c r="M576" s="790"/>
      <c r="N576" s="175"/>
      <c r="O576" s="790"/>
      <c r="P576" s="175"/>
      <c r="Q576" s="175"/>
      <c r="R576" s="175"/>
      <c r="S576" s="167"/>
      <c r="T576" s="167"/>
      <c r="U576" s="175"/>
      <c r="V576" s="791"/>
      <c r="W576" s="175"/>
      <c r="X576" s="791"/>
      <c r="Y576" s="791"/>
      <c r="Z576" s="175"/>
      <c r="AA576" s="175"/>
      <c r="AB576" s="792"/>
      <c r="AC576" s="150"/>
      <c r="AD576" s="150"/>
      <c r="AE576" s="166"/>
      <c r="AF576" s="166"/>
      <c r="AG576" s="151"/>
      <c r="AH576" s="149"/>
      <c r="AI576" s="152"/>
      <c r="AJ576" s="152"/>
      <c r="AK576" s="152"/>
      <c r="AL576" s="152"/>
      <c r="AM576" s="152"/>
      <c r="AN576" s="152"/>
      <c r="AO576" s="165"/>
      <c r="AP576" s="152"/>
      <c r="AQ576" s="165"/>
      <c r="AR576" s="165"/>
      <c r="AS576" s="152"/>
      <c r="AT576" s="152"/>
      <c r="AU576" s="152"/>
      <c r="AV576" s="152"/>
      <c r="AW576" s="152"/>
    </row>
    <row r="577" spans="2:49" s="64" customFormat="1">
      <c r="B577" s="95"/>
      <c r="C577" s="148"/>
      <c r="D577" s="190"/>
      <c r="E577" s="175"/>
      <c r="F577" s="175"/>
      <c r="G577" s="175"/>
      <c r="H577" s="790"/>
      <c r="I577" s="175"/>
      <c r="J577" s="790"/>
      <c r="K577" s="175"/>
      <c r="L577" s="175"/>
      <c r="M577" s="790"/>
      <c r="N577" s="175"/>
      <c r="O577" s="790"/>
      <c r="P577" s="175"/>
      <c r="Q577" s="175"/>
      <c r="R577" s="175"/>
      <c r="S577" s="167"/>
      <c r="T577" s="167"/>
      <c r="U577" s="175"/>
      <c r="V577" s="791"/>
      <c r="W577" s="175"/>
      <c r="X577" s="791"/>
      <c r="Y577" s="791"/>
      <c r="Z577" s="175"/>
      <c r="AA577" s="175"/>
      <c r="AB577" s="792"/>
      <c r="AC577" s="150"/>
      <c r="AD577" s="150"/>
      <c r="AE577" s="166"/>
      <c r="AF577" s="166"/>
      <c r="AG577" s="151"/>
      <c r="AH577" s="149"/>
      <c r="AI577" s="152"/>
      <c r="AJ577" s="152"/>
      <c r="AK577" s="152"/>
      <c r="AL577" s="152"/>
      <c r="AM577" s="152"/>
      <c r="AN577" s="152"/>
      <c r="AO577" s="165"/>
      <c r="AP577" s="152"/>
      <c r="AQ577" s="165"/>
      <c r="AR577" s="165"/>
      <c r="AS577" s="152"/>
      <c r="AT577" s="152"/>
      <c r="AU577" s="152"/>
      <c r="AV577" s="152"/>
      <c r="AW577" s="152"/>
    </row>
    <row r="578" spans="2:49" s="64" customFormat="1">
      <c r="B578" s="95"/>
      <c r="C578" s="148"/>
      <c r="D578" s="190"/>
      <c r="E578" s="175"/>
      <c r="F578" s="175"/>
      <c r="G578" s="175"/>
      <c r="H578" s="790"/>
      <c r="I578" s="175"/>
      <c r="J578" s="790"/>
      <c r="K578" s="175"/>
      <c r="L578" s="175"/>
      <c r="M578" s="790"/>
      <c r="N578" s="175"/>
      <c r="O578" s="790"/>
      <c r="P578" s="175"/>
      <c r="Q578" s="175"/>
      <c r="R578" s="175"/>
      <c r="S578" s="167"/>
      <c r="T578" s="167"/>
      <c r="U578" s="175"/>
      <c r="V578" s="791"/>
      <c r="W578" s="175"/>
      <c r="X578" s="791"/>
      <c r="Y578" s="791"/>
      <c r="Z578" s="175"/>
      <c r="AA578" s="175"/>
      <c r="AB578" s="792"/>
      <c r="AC578" s="150"/>
      <c r="AD578" s="150"/>
      <c r="AE578" s="166"/>
      <c r="AF578" s="166"/>
      <c r="AG578" s="151"/>
      <c r="AH578" s="149"/>
      <c r="AI578" s="152"/>
      <c r="AJ578" s="152"/>
      <c r="AK578" s="152"/>
      <c r="AL578" s="152"/>
      <c r="AM578" s="152"/>
      <c r="AN578" s="152"/>
      <c r="AO578" s="165"/>
      <c r="AP578" s="152"/>
      <c r="AQ578" s="165"/>
      <c r="AR578" s="165"/>
      <c r="AS578" s="152"/>
      <c r="AT578" s="152"/>
      <c r="AU578" s="152"/>
      <c r="AV578" s="152"/>
      <c r="AW578" s="152"/>
    </row>
    <row r="579" spans="2:49" s="64" customFormat="1">
      <c r="B579" s="95"/>
      <c r="C579" s="148"/>
      <c r="D579" s="190"/>
      <c r="E579" s="175"/>
      <c r="F579" s="175"/>
      <c r="G579" s="175"/>
      <c r="H579" s="790"/>
      <c r="I579" s="175"/>
      <c r="J579" s="790"/>
      <c r="K579" s="175"/>
      <c r="L579" s="175"/>
      <c r="M579" s="790"/>
      <c r="N579" s="175"/>
      <c r="O579" s="790"/>
      <c r="P579" s="175"/>
      <c r="Q579" s="175"/>
      <c r="R579" s="175"/>
      <c r="S579" s="167"/>
      <c r="T579" s="167"/>
      <c r="U579" s="175"/>
      <c r="V579" s="791"/>
      <c r="W579" s="175"/>
      <c r="X579" s="791"/>
      <c r="Y579" s="791"/>
      <c r="Z579" s="175"/>
      <c r="AA579" s="175"/>
      <c r="AB579" s="792"/>
      <c r="AC579" s="150"/>
      <c r="AD579" s="150"/>
      <c r="AE579" s="166"/>
      <c r="AF579" s="166"/>
      <c r="AG579" s="151"/>
      <c r="AH579" s="149"/>
      <c r="AI579" s="152"/>
      <c r="AJ579" s="152"/>
      <c r="AK579" s="152"/>
      <c r="AL579" s="152"/>
      <c r="AM579" s="152"/>
      <c r="AN579" s="152"/>
      <c r="AO579" s="165"/>
      <c r="AP579" s="152"/>
      <c r="AQ579" s="165"/>
      <c r="AR579" s="165"/>
      <c r="AS579" s="152"/>
      <c r="AT579" s="152"/>
      <c r="AU579" s="152"/>
      <c r="AV579" s="152"/>
      <c r="AW579" s="152"/>
    </row>
    <row r="580" spans="2:49" s="64" customFormat="1">
      <c r="B580" s="95"/>
      <c r="C580" s="148"/>
      <c r="D580" s="190"/>
      <c r="E580" s="175"/>
      <c r="F580" s="175"/>
      <c r="G580" s="175"/>
      <c r="H580" s="790"/>
      <c r="I580" s="175"/>
      <c r="J580" s="790"/>
      <c r="K580" s="175"/>
      <c r="L580" s="175"/>
      <c r="M580" s="790"/>
      <c r="N580" s="175"/>
      <c r="O580" s="790"/>
      <c r="P580" s="175"/>
      <c r="Q580" s="175"/>
      <c r="R580" s="175"/>
      <c r="S580" s="167"/>
      <c r="T580" s="167"/>
      <c r="U580" s="175"/>
      <c r="V580" s="791"/>
      <c r="W580" s="175"/>
      <c r="X580" s="791"/>
      <c r="Y580" s="791"/>
      <c r="Z580" s="175"/>
      <c r="AA580" s="175"/>
      <c r="AB580" s="792"/>
      <c r="AC580" s="150"/>
      <c r="AD580" s="150"/>
      <c r="AE580" s="166"/>
      <c r="AF580" s="166"/>
      <c r="AG580" s="151"/>
      <c r="AH580" s="149"/>
      <c r="AI580" s="152"/>
      <c r="AJ580" s="152"/>
      <c r="AK580" s="152"/>
      <c r="AL580" s="152"/>
      <c r="AM580" s="152"/>
      <c r="AN580" s="152"/>
      <c r="AO580" s="165"/>
      <c r="AP580" s="152"/>
      <c r="AQ580" s="165"/>
      <c r="AR580" s="165"/>
      <c r="AS580" s="152"/>
      <c r="AT580" s="152"/>
      <c r="AU580" s="152"/>
      <c r="AV580" s="152"/>
      <c r="AW580" s="152"/>
    </row>
    <row r="581" spans="2:49" s="64" customFormat="1">
      <c r="B581" s="95"/>
      <c r="C581" s="148"/>
      <c r="D581" s="190"/>
      <c r="E581" s="175"/>
      <c r="F581" s="175"/>
      <c r="G581" s="175"/>
      <c r="H581" s="790"/>
      <c r="I581" s="175"/>
      <c r="J581" s="790"/>
      <c r="K581" s="175"/>
      <c r="L581" s="175"/>
      <c r="M581" s="790"/>
      <c r="N581" s="175"/>
      <c r="O581" s="790"/>
      <c r="P581" s="175"/>
      <c r="Q581" s="175"/>
      <c r="R581" s="175"/>
      <c r="S581" s="167"/>
      <c r="T581" s="167"/>
      <c r="U581" s="175"/>
      <c r="V581" s="791"/>
      <c r="W581" s="175"/>
      <c r="X581" s="791"/>
      <c r="Y581" s="791"/>
      <c r="Z581" s="175"/>
      <c r="AA581" s="175"/>
      <c r="AB581" s="792"/>
      <c r="AC581" s="150"/>
      <c r="AD581" s="150"/>
      <c r="AE581" s="166"/>
      <c r="AF581" s="166"/>
      <c r="AG581" s="151"/>
      <c r="AH581" s="149"/>
      <c r="AI581" s="152"/>
      <c r="AJ581" s="152"/>
      <c r="AK581" s="152"/>
      <c r="AL581" s="152"/>
      <c r="AM581" s="152"/>
      <c r="AN581" s="152"/>
      <c r="AO581" s="165"/>
      <c r="AP581" s="152"/>
      <c r="AQ581" s="165"/>
      <c r="AR581" s="165"/>
      <c r="AS581" s="152"/>
      <c r="AT581" s="152"/>
      <c r="AU581" s="152"/>
      <c r="AV581" s="152"/>
      <c r="AW581" s="152"/>
    </row>
    <row r="582" spans="2:49" s="64" customFormat="1">
      <c r="B582" s="95"/>
      <c r="C582" s="148"/>
      <c r="D582" s="190"/>
      <c r="E582" s="175"/>
      <c r="F582" s="175"/>
      <c r="G582" s="175"/>
      <c r="H582" s="790"/>
      <c r="I582" s="175"/>
      <c r="J582" s="790"/>
      <c r="K582" s="175"/>
      <c r="L582" s="175"/>
      <c r="M582" s="790"/>
      <c r="N582" s="175"/>
      <c r="O582" s="790"/>
      <c r="P582" s="175"/>
      <c r="Q582" s="175"/>
      <c r="R582" s="175"/>
      <c r="S582" s="167"/>
      <c r="T582" s="167"/>
      <c r="U582" s="175"/>
      <c r="V582" s="791"/>
      <c r="W582" s="175"/>
      <c r="X582" s="791"/>
      <c r="Y582" s="791"/>
      <c r="Z582" s="175"/>
      <c r="AA582" s="175"/>
      <c r="AB582" s="792"/>
      <c r="AC582" s="150"/>
      <c r="AD582" s="150"/>
      <c r="AE582" s="166"/>
      <c r="AF582" s="166"/>
      <c r="AG582" s="151"/>
      <c r="AH582" s="149"/>
      <c r="AI582" s="152"/>
      <c r="AJ582" s="152"/>
      <c r="AK582" s="152"/>
      <c r="AL582" s="152"/>
      <c r="AM582" s="152"/>
      <c r="AN582" s="152"/>
      <c r="AO582" s="165"/>
      <c r="AP582" s="152"/>
      <c r="AQ582" s="165"/>
      <c r="AR582" s="165"/>
      <c r="AS582" s="152"/>
      <c r="AT582" s="152"/>
      <c r="AU582" s="152"/>
      <c r="AV582" s="152"/>
      <c r="AW582" s="152"/>
    </row>
    <row r="583" spans="2:49" s="64" customFormat="1">
      <c r="B583" s="95"/>
      <c r="C583" s="148"/>
      <c r="D583" s="190"/>
      <c r="E583" s="175"/>
      <c r="F583" s="175"/>
      <c r="G583" s="175"/>
      <c r="H583" s="790"/>
      <c r="I583" s="175"/>
      <c r="J583" s="790"/>
      <c r="K583" s="175"/>
      <c r="L583" s="175"/>
      <c r="M583" s="790"/>
      <c r="N583" s="175"/>
      <c r="O583" s="790"/>
      <c r="P583" s="175"/>
      <c r="Q583" s="175"/>
      <c r="R583" s="175"/>
      <c r="S583" s="167"/>
      <c r="T583" s="167"/>
      <c r="U583" s="175"/>
      <c r="V583" s="791"/>
      <c r="W583" s="175"/>
      <c r="X583" s="791"/>
      <c r="Y583" s="791"/>
      <c r="Z583" s="175"/>
      <c r="AA583" s="175"/>
      <c r="AB583" s="792"/>
      <c r="AC583" s="150"/>
      <c r="AD583" s="150"/>
      <c r="AE583" s="166"/>
      <c r="AF583" s="166"/>
      <c r="AG583" s="151"/>
      <c r="AH583" s="149"/>
      <c r="AI583" s="152"/>
      <c r="AJ583" s="152"/>
      <c r="AK583" s="152"/>
      <c r="AL583" s="152"/>
      <c r="AM583" s="152"/>
      <c r="AN583" s="152"/>
      <c r="AO583" s="165"/>
      <c r="AP583" s="152"/>
      <c r="AQ583" s="165"/>
      <c r="AR583" s="165"/>
      <c r="AS583" s="152"/>
      <c r="AT583" s="152"/>
      <c r="AU583" s="152"/>
      <c r="AV583" s="152"/>
      <c r="AW583" s="152"/>
    </row>
    <row r="584" spans="2:49" s="64" customFormat="1">
      <c r="B584" s="95"/>
      <c r="C584" s="148"/>
      <c r="D584" s="190"/>
      <c r="E584" s="175"/>
      <c r="F584" s="175"/>
      <c r="G584" s="175"/>
      <c r="H584" s="790"/>
      <c r="I584" s="175"/>
      <c r="J584" s="790"/>
      <c r="K584" s="175"/>
      <c r="L584" s="175"/>
      <c r="M584" s="790"/>
      <c r="N584" s="175"/>
      <c r="O584" s="790"/>
      <c r="P584" s="175"/>
      <c r="Q584" s="175"/>
      <c r="R584" s="175"/>
      <c r="S584" s="167"/>
      <c r="T584" s="167"/>
      <c r="U584" s="175"/>
      <c r="V584" s="791"/>
      <c r="W584" s="175"/>
      <c r="X584" s="791"/>
      <c r="Y584" s="791"/>
      <c r="Z584" s="175"/>
      <c r="AA584" s="175"/>
      <c r="AB584" s="792"/>
      <c r="AC584" s="150"/>
      <c r="AD584" s="150"/>
      <c r="AE584" s="166"/>
      <c r="AF584" s="166"/>
      <c r="AG584" s="151"/>
      <c r="AH584" s="149"/>
      <c r="AI584" s="152"/>
      <c r="AJ584" s="152"/>
      <c r="AK584" s="152"/>
      <c r="AL584" s="152"/>
      <c r="AM584" s="152"/>
      <c r="AN584" s="152"/>
      <c r="AO584" s="165"/>
      <c r="AP584" s="152"/>
      <c r="AQ584" s="165"/>
      <c r="AR584" s="165"/>
      <c r="AS584" s="152"/>
      <c r="AT584" s="152"/>
      <c r="AU584" s="152"/>
      <c r="AV584" s="152"/>
      <c r="AW584" s="152"/>
    </row>
    <row r="585" spans="2:49" s="64" customFormat="1">
      <c r="B585" s="95"/>
      <c r="C585" s="148"/>
      <c r="D585" s="190"/>
      <c r="E585" s="175"/>
      <c r="F585" s="175"/>
      <c r="G585" s="175"/>
      <c r="H585" s="790"/>
      <c r="I585" s="175"/>
      <c r="J585" s="790"/>
      <c r="K585" s="175"/>
      <c r="L585" s="175"/>
      <c r="M585" s="790"/>
      <c r="N585" s="175"/>
      <c r="O585" s="790"/>
      <c r="P585" s="175"/>
      <c r="Q585" s="175"/>
      <c r="R585" s="175"/>
      <c r="S585" s="167"/>
      <c r="T585" s="167"/>
      <c r="U585" s="175"/>
      <c r="V585" s="791"/>
      <c r="W585" s="175"/>
      <c r="X585" s="791"/>
      <c r="Y585" s="791"/>
      <c r="Z585" s="175"/>
      <c r="AA585" s="175"/>
      <c r="AB585" s="792"/>
      <c r="AC585" s="150"/>
      <c r="AD585" s="150"/>
      <c r="AE585" s="166"/>
      <c r="AF585" s="166"/>
      <c r="AG585" s="151"/>
      <c r="AH585" s="149"/>
      <c r="AI585" s="152"/>
      <c r="AJ585" s="152"/>
      <c r="AK585" s="152"/>
      <c r="AL585" s="152"/>
      <c r="AM585" s="152"/>
      <c r="AN585" s="152"/>
      <c r="AO585" s="165"/>
      <c r="AP585" s="152"/>
      <c r="AQ585" s="165"/>
      <c r="AR585" s="165"/>
      <c r="AS585" s="152"/>
      <c r="AT585" s="152"/>
      <c r="AU585" s="152"/>
      <c r="AV585" s="152"/>
      <c r="AW585" s="152"/>
    </row>
    <row r="586" spans="2:49" s="64" customFormat="1">
      <c r="B586" s="95"/>
      <c r="C586" s="148"/>
      <c r="D586" s="190"/>
      <c r="E586" s="175"/>
      <c r="F586" s="175"/>
      <c r="G586" s="175"/>
      <c r="H586" s="790"/>
      <c r="I586" s="175"/>
      <c r="J586" s="790"/>
      <c r="K586" s="175"/>
      <c r="L586" s="175"/>
      <c r="M586" s="790"/>
      <c r="N586" s="175"/>
      <c r="O586" s="790"/>
      <c r="P586" s="175"/>
      <c r="Q586" s="175"/>
      <c r="R586" s="175"/>
      <c r="S586" s="167"/>
      <c r="T586" s="167"/>
      <c r="U586" s="175"/>
      <c r="V586" s="791"/>
      <c r="W586" s="175"/>
      <c r="X586" s="791"/>
      <c r="Y586" s="791"/>
      <c r="Z586" s="175"/>
      <c r="AA586" s="175"/>
      <c r="AB586" s="792"/>
      <c r="AC586" s="150"/>
      <c r="AD586" s="150"/>
      <c r="AE586" s="166"/>
      <c r="AF586" s="166"/>
      <c r="AG586" s="151"/>
      <c r="AH586" s="149"/>
      <c r="AI586" s="152"/>
      <c r="AJ586" s="152"/>
      <c r="AK586" s="152"/>
      <c r="AL586" s="152"/>
      <c r="AM586" s="152"/>
      <c r="AN586" s="152"/>
      <c r="AO586" s="165"/>
      <c r="AP586" s="152"/>
      <c r="AQ586" s="165"/>
      <c r="AR586" s="165"/>
      <c r="AS586" s="152"/>
      <c r="AT586" s="152"/>
      <c r="AU586" s="152"/>
      <c r="AV586" s="152"/>
      <c r="AW586" s="152"/>
    </row>
    <row r="587" spans="2:49" s="64" customFormat="1">
      <c r="B587" s="95"/>
      <c r="C587" s="148"/>
      <c r="D587" s="190"/>
      <c r="E587" s="175"/>
      <c r="F587" s="175"/>
      <c r="G587" s="175"/>
      <c r="H587" s="790"/>
      <c r="I587" s="175"/>
      <c r="J587" s="790"/>
      <c r="K587" s="175"/>
      <c r="L587" s="175"/>
      <c r="M587" s="790"/>
      <c r="N587" s="175"/>
      <c r="O587" s="790"/>
      <c r="P587" s="175"/>
      <c r="Q587" s="175"/>
      <c r="R587" s="175"/>
      <c r="S587" s="167"/>
      <c r="T587" s="167"/>
      <c r="U587" s="175"/>
      <c r="V587" s="791"/>
      <c r="W587" s="175"/>
      <c r="X587" s="791"/>
      <c r="Y587" s="791"/>
      <c r="Z587" s="175"/>
      <c r="AA587" s="175"/>
      <c r="AB587" s="792"/>
      <c r="AC587" s="150"/>
      <c r="AD587" s="150"/>
      <c r="AE587" s="166"/>
      <c r="AF587" s="166"/>
      <c r="AG587" s="151"/>
      <c r="AH587" s="149"/>
      <c r="AI587" s="152"/>
      <c r="AJ587" s="152"/>
      <c r="AK587" s="152"/>
      <c r="AL587" s="152"/>
      <c r="AM587" s="152"/>
      <c r="AN587" s="152"/>
      <c r="AO587" s="165"/>
      <c r="AP587" s="152"/>
      <c r="AQ587" s="165"/>
      <c r="AR587" s="165"/>
      <c r="AS587" s="152"/>
      <c r="AT587" s="152"/>
      <c r="AU587" s="152"/>
      <c r="AV587" s="152"/>
      <c r="AW587" s="152"/>
    </row>
    <row r="588" spans="2:49" s="64" customFormat="1">
      <c r="B588" s="95"/>
      <c r="C588" s="148"/>
      <c r="D588" s="190"/>
      <c r="E588" s="175"/>
      <c r="F588" s="175"/>
      <c r="G588" s="175"/>
      <c r="H588" s="790"/>
      <c r="I588" s="175"/>
      <c r="J588" s="790"/>
      <c r="K588" s="175"/>
      <c r="L588" s="175"/>
      <c r="M588" s="790"/>
      <c r="N588" s="175"/>
      <c r="O588" s="790"/>
      <c r="P588" s="175"/>
      <c r="Q588" s="175"/>
      <c r="R588" s="175"/>
      <c r="S588" s="167"/>
      <c r="T588" s="167"/>
      <c r="U588" s="175"/>
      <c r="V588" s="791"/>
      <c r="W588" s="175"/>
      <c r="X588" s="791"/>
      <c r="Y588" s="791"/>
      <c r="Z588" s="175"/>
      <c r="AA588" s="175"/>
      <c r="AB588" s="792"/>
      <c r="AC588" s="150"/>
      <c r="AD588" s="150"/>
      <c r="AE588" s="166"/>
      <c r="AF588" s="166"/>
      <c r="AG588" s="151"/>
      <c r="AH588" s="149"/>
      <c r="AI588" s="152"/>
      <c r="AJ588" s="152"/>
      <c r="AK588" s="152"/>
      <c r="AL588" s="152"/>
      <c r="AM588" s="152"/>
      <c r="AN588" s="152"/>
      <c r="AO588" s="165"/>
      <c r="AP588" s="152"/>
      <c r="AQ588" s="165"/>
      <c r="AR588" s="165"/>
      <c r="AS588" s="152"/>
      <c r="AT588" s="152"/>
      <c r="AU588" s="152"/>
      <c r="AV588" s="152"/>
      <c r="AW588" s="152"/>
    </row>
    <row r="589" spans="2:49" s="64" customFormat="1">
      <c r="B589" s="95"/>
      <c r="C589" s="148"/>
      <c r="D589" s="190"/>
      <c r="E589" s="175"/>
      <c r="F589" s="175"/>
      <c r="G589" s="175"/>
      <c r="H589" s="790"/>
      <c r="I589" s="175"/>
      <c r="J589" s="790"/>
      <c r="K589" s="175"/>
      <c r="L589" s="175"/>
      <c r="M589" s="790"/>
      <c r="N589" s="175"/>
      <c r="O589" s="790"/>
      <c r="P589" s="175"/>
      <c r="Q589" s="175"/>
      <c r="R589" s="175"/>
      <c r="S589" s="167"/>
      <c r="T589" s="167"/>
      <c r="U589" s="175"/>
      <c r="V589" s="791"/>
      <c r="W589" s="175"/>
      <c r="X589" s="791"/>
      <c r="Y589" s="791"/>
      <c r="Z589" s="175"/>
      <c r="AA589" s="175"/>
      <c r="AB589" s="792"/>
      <c r="AC589" s="150"/>
      <c r="AD589" s="150"/>
      <c r="AE589" s="166"/>
      <c r="AF589" s="166"/>
      <c r="AG589" s="151"/>
      <c r="AH589" s="149"/>
      <c r="AI589" s="152"/>
      <c r="AJ589" s="152"/>
      <c r="AK589" s="152"/>
      <c r="AL589" s="152"/>
      <c r="AM589" s="152"/>
      <c r="AN589" s="152"/>
      <c r="AO589" s="165"/>
      <c r="AP589" s="152"/>
      <c r="AQ589" s="165"/>
      <c r="AR589" s="165"/>
      <c r="AS589" s="152"/>
      <c r="AT589" s="152"/>
      <c r="AU589" s="152"/>
      <c r="AV589" s="152"/>
      <c r="AW589" s="152"/>
    </row>
    <row r="590" spans="2:49" s="64" customFormat="1">
      <c r="B590" s="95"/>
      <c r="C590" s="148"/>
      <c r="D590" s="190"/>
      <c r="E590" s="175"/>
      <c r="F590" s="175"/>
      <c r="G590" s="175"/>
      <c r="H590" s="790"/>
      <c r="I590" s="175"/>
      <c r="J590" s="790"/>
      <c r="K590" s="175"/>
      <c r="L590" s="175"/>
      <c r="M590" s="790"/>
      <c r="N590" s="175"/>
      <c r="O590" s="790"/>
      <c r="P590" s="175"/>
      <c r="Q590" s="175"/>
      <c r="R590" s="175"/>
      <c r="S590" s="167"/>
      <c r="T590" s="167"/>
      <c r="U590" s="175"/>
      <c r="V590" s="791"/>
      <c r="W590" s="175"/>
      <c r="X590" s="791"/>
      <c r="Y590" s="791"/>
      <c r="Z590" s="175"/>
      <c r="AA590" s="175"/>
      <c r="AB590" s="792"/>
      <c r="AC590" s="150"/>
      <c r="AD590" s="150"/>
      <c r="AE590" s="166"/>
      <c r="AF590" s="166"/>
      <c r="AG590" s="151"/>
      <c r="AH590" s="149"/>
      <c r="AI590" s="152"/>
      <c r="AJ590" s="152"/>
      <c r="AK590" s="152"/>
      <c r="AL590" s="152"/>
      <c r="AM590" s="152"/>
      <c r="AN590" s="152"/>
      <c r="AO590" s="165"/>
      <c r="AP590" s="152"/>
      <c r="AQ590" s="165"/>
      <c r="AR590" s="165"/>
      <c r="AS590" s="152"/>
      <c r="AT590" s="152"/>
      <c r="AU590" s="152"/>
      <c r="AV590" s="152"/>
      <c r="AW590" s="152"/>
    </row>
    <row r="591" spans="2:49" s="64" customFormat="1">
      <c r="B591" s="95"/>
      <c r="C591" s="148"/>
      <c r="D591" s="190"/>
      <c r="E591" s="175"/>
      <c r="F591" s="175"/>
      <c r="G591" s="175"/>
      <c r="H591" s="790"/>
      <c r="I591" s="175"/>
      <c r="J591" s="790"/>
      <c r="K591" s="175"/>
      <c r="L591" s="175"/>
      <c r="M591" s="790"/>
      <c r="N591" s="175"/>
      <c r="O591" s="790"/>
      <c r="P591" s="175"/>
      <c r="Q591" s="175"/>
      <c r="R591" s="175"/>
      <c r="S591" s="167"/>
      <c r="T591" s="167"/>
      <c r="U591" s="175"/>
      <c r="V591" s="791"/>
      <c r="W591" s="175"/>
      <c r="X591" s="791"/>
      <c r="Y591" s="791"/>
      <c r="Z591" s="175"/>
      <c r="AA591" s="175"/>
      <c r="AB591" s="792"/>
      <c r="AC591" s="150"/>
      <c r="AD591" s="150"/>
      <c r="AE591" s="166"/>
      <c r="AF591" s="166"/>
      <c r="AG591" s="151"/>
      <c r="AH591" s="149"/>
      <c r="AI591" s="152"/>
      <c r="AJ591" s="152"/>
      <c r="AK591" s="152"/>
      <c r="AL591" s="152"/>
      <c r="AM591" s="152"/>
      <c r="AN591" s="152"/>
      <c r="AO591" s="165"/>
      <c r="AP591" s="152"/>
      <c r="AQ591" s="165"/>
      <c r="AR591" s="165"/>
      <c r="AS591" s="152"/>
      <c r="AT591" s="152"/>
      <c r="AU591" s="152"/>
      <c r="AV591" s="152"/>
      <c r="AW591" s="152"/>
    </row>
    <row r="592" spans="2:49" s="64" customFormat="1">
      <c r="B592" s="95"/>
      <c r="C592" s="148"/>
      <c r="D592" s="190"/>
      <c r="E592" s="175"/>
      <c r="F592" s="175"/>
      <c r="G592" s="175"/>
      <c r="H592" s="790"/>
      <c r="I592" s="175"/>
      <c r="J592" s="790"/>
      <c r="K592" s="175"/>
      <c r="L592" s="175"/>
      <c r="M592" s="790"/>
      <c r="N592" s="175"/>
      <c r="O592" s="790"/>
      <c r="P592" s="175"/>
      <c r="Q592" s="175"/>
      <c r="R592" s="175"/>
      <c r="S592" s="167"/>
      <c r="T592" s="167"/>
      <c r="U592" s="175"/>
      <c r="V592" s="791"/>
      <c r="W592" s="175"/>
      <c r="X592" s="791"/>
      <c r="Y592" s="791"/>
      <c r="Z592" s="175"/>
      <c r="AA592" s="175"/>
      <c r="AB592" s="792"/>
      <c r="AC592" s="150"/>
      <c r="AD592" s="150"/>
      <c r="AE592" s="166"/>
      <c r="AF592" s="166"/>
      <c r="AG592" s="151"/>
      <c r="AH592" s="149"/>
      <c r="AI592" s="152"/>
      <c r="AJ592" s="152"/>
      <c r="AK592" s="152"/>
      <c r="AL592" s="152"/>
      <c r="AM592" s="152"/>
      <c r="AN592" s="152"/>
      <c r="AO592" s="165"/>
      <c r="AP592" s="152"/>
      <c r="AQ592" s="165"/>
      <c r="AR592" s="165"/>
      <c r="AS592" s="152"/>
      <c r="AT592" s="152"/>
      <c r="AU592" s="152"/>
      <c r="AV592" s="152"/>
      <c r="AW592" s="152"/>
    </row>
    <row r="593" spans="2:49" s="64" customFormat="1">
      <c r="B593" s="95"/>
      <c r="C593" s="148"/>
      <c r="D593" s="190"/>
      <c r="E593" s="175"/>
      <c r="F593" s="175"/>
      <c r="G593" s="175"/>
      <c r="H593" s="790"/>
      <c r="I593" s="175"/>
      <c r="J593" s="790"/>
      <c r="K593" s="175"/>
      <c r="L593" s="175"/>
      <c r="M593" s="790"/>
      <c r="N593" s="175"/>
      <c r="O593" s="790"/>
      <c r="P593" s="175"/>
      <c r="Q593" s="175"/>
      <c r="R593" s="175"/>
      <c r="S593" s="167"/>
      <c r="T593" s="167"/>
      <c r="U593" s="175"/>
      <c r="V593" s="791"/>
      <c r="W593" s="175"/>
      <c r="X593" s="791"/>
      <c r="Y593" s="791"/>
      <c r="Z593" s="175"/>
      <c r="AA593" s="175"/>
      <c r="AB593" s="792"/>
      <c r="AC593" s="150"/>
      <c r="AD593" s="150"/>
      <c r="AE593" s="166"/>
      <c r="AF593" s="166"/>
      <c r="AG593" s="151"/>
      <c r="AH593" s="149"/>
      <c r="AI593" s="152"/>
      <c r="AJ593" s="152"/>
      <c r="AK593" s="152"/>
      <c r="AL593" s="152"/>
      <c r="AM593" s="152"/>
      <c r="AN593" s="152"/>
      <c r="AO593" s="165"/>
      <c r="AP593" s="152"/>
      <c r="AQ593" s="165"/>
      <c r="AR593" s="165"/>
      <c r="AS593" s="152"/>
      <c r="AT593" s="152"/>
      <c r="AU593" s="152"/>
      <c r="AV593" s="152"/>
      <c r="AW593" s="152"/>
    </row>
    <row r="594" spans="2:49" s="64" customFormat="1">
      <c r="B594" s="95"/>
      <c r="C594" s="148"/>
      <c r="D594" s="190"/>
      <c r="E594" s="175"/>
      <c r="F594" s="175"/>
      <c r="G594" s="175"/>
      <c r="H594" s="790"/>
      <c r="I594" s="175"/>
      <c r="J594" s="790"/>
      <c r="K594" s="175"/>
      <c r="L594" s="175"/>
      <c r="M594" s="790"/>
      <c r="N594" s="175"/>
      <c r="O594" s="790"/>
      <c r="P594" s="175"/>
      <c r="Q594" s="175"/>
      <c r="R594" s="175"/>
      <c r="S594" s="167"/>
      <c r="T594" s="167"/>
      <c r="U594" s="175"/>
      <c r="V594" s="791"/>
      <c r="W594" s="175"/>
      <c r="X594" s="791"/>
      <c r="Y594" s="791"/>
      <c r="Z594" s="175"/>
      <c r="AA594" s="175"/>
      <c r="AB594" s="792"/>
      <c r="AC594" s="150"/>
      <c r="AD594" s="150"/>
      <c r="AE594" s="166"/>
      <c r="AF594" s="166"/>
      <c r="AG594" s="151"/>
      <c r="AH594" s="149"/>
      <c r="AI594" s="152"/>
      <c r="AJ594" s="152"/>
      <c r="AK594" s="152"/>
      <c r="AL594" s="152"/>
      <c r="AM594" s="152"/>
      <c r="AN594" s="152"/>
      <c r="AO594" s="165"/>
      <c r="AP594" s="152"/>
      <c r="AQ594" s="165"/>
      <c r="AR594" s="165"/>
      <c r="AS594" s="152"/>
      <c r="AT594" s="152"/>
      <c r="AU594" s="152"/>
      <c r="AV594" s="152"/>
      <c r="AW594" s="152"/>
    </row>
    <row r="595" spans="2:49" s="64" customFormat="1">
      <c r="B595" s="95"/>
      <c r="C595" s="148"/>
      <c r="D595" s="190"/>
      <c r="E595" s="175"/>
      <c r="F595" s="175"/>
      <c r="G595" s="175"/>
      <c r="H595" s="790"/>
      <c r="I595" s="175"/>
      <c r="J595" s="790"/>
      <c r="K595" s="175"/>
      <c r="L595" s="175"/>
      <c r="M595" s="790"/>
      <c r="N595" s="175"/>
      <c r="O595" s="790"/>
      <c r="P595" s="175"/>
      <c r="Q595" s="175"/>
      <c r="R595" s="175"/>
      <c r="S595" s="167"/>
      <c r="T595" s="167"/>
      <c r="U595" s="175"/>
      <c r="V595" s="791"/>
      <c r="W595" s="175"/>
      <c r="X595" s="791"/>
      <c r="Y595" s="791"/>
      <c r="Z595" s="175"/>
      <c r="AA595" s="175"/>
      <c r="AB595" s="792"/>
      <c r="AC595" s="150"/>
      <c r="AD595" s="150"/>
      <c r="AE595" s="166"/>
      <c r="AF595" s="166"/>
      <c r="AG595" s="151"/>
      <c r="AH595" s="149"/>
      <c r="AI595" s="152"/>
      <c r="AJ595" s="152"/>
      <c r="AK595" s="152"/>
      <c r="AL595" s="152"/>
      <c r="AM595" s="152"/>
      <c r="AN595" s="152"/>
      <c r="AO595" s="165"/>
      <c r="AP595" s="152"/>
      <c r="AQ595" s="165"/>
      <c r="AR595" s="165"/>
      <c r="AS595" s="152"/>
      <c r="AT595" s="152"/>
      <c r="AU595" s="152"/>
      <c r="AV595" s="152"/>
      <c r="AW595" s="152"/>
    </row>
    <row r="596" spans="2:49" s="64" customFormat="1">
      <c r="B596" s="95"/>
      <c r="C596" s="148"/>
      <c r="D596" s="190"/>
      <c r="E596" s="175"/>
      <c r="F596" s="175"/>
      <c r="G596" s="175"/>
      <c r="H596" s="790"/>
      <c r="I596" s="175"/>
      <c r="J596" s="790"/>
      <c r="K596" s="175"/>
      <c r="L596" s="175"/>
      <c r="M596" s="790"/>
      <c r="N596" s="175"/>
      <c r="O596" s="790"/>
      <c r="P596" s="175"/>
      <c r="Q596" s="175"/>
      <c r="R596" s="175"/>
      <c r="S596" s="167"/>
      <c r="T596" s="167"/>
      <c r="U596" s="175"/>
      <c r="V596" s="791"/>
      <c r="W596" s="175"/>
      <c r="X596" s="791"/>
      <c r="Y596" s="791"/>
      <c r="Z596" s="175"/>
      <c r="AA596" s="175"/>
      <c r="AB596" s="792"/>
      <c r="AC596" s="150"/>
      <c r="AD596" s="150"/>
      <c r="AE596" s="166"/>
      <c r="AF596" s="166"/>
      <c r="AG596" s="151"/>
      <c r="AH596" s="149"/>
      <c r="AI596" s="152"/>
      <c r="AJ596" s="152"/>
      <c r="AK596" s="152"/>
      <c r="AL596" s="152"/>
      <c r="AM596" s="152"/>
      <c r="AN596" s="152"/>
      <c r="AO596" s="165"/>
      <c r="AP596" s="152"/>
      <c r="AQ596" s="165"/>
      <c r="AR596" s="165"/>
      <c r="AS596" s="152"/>
      <c r="AT596" s="152"/>
      <c r="AU596" s="152"/>
      <c r="AV596" s="152"/>
      <c r="AW596" s="152"/>
    </row>
    <row r="597" spans="2:49" s="64" customFormat="1">
      <c r="B597" s="95"/>
      <c r="C597" s="148"/>
      <c r="D597" s="190"/>
      <c r="E597" s="175"/>
      <c r="F597" s="175"/>
      <c r="G597" s="175"/>
      <c r="H597" s="790"/>
      <c r="I597" s="175"/>
      <c r="J597" s="790"/>
      <c r="K597" s="175"/>
      <c r="L597" s="175"/>
      <c r="M597" s="790"/>
      <c r="N597" s="175"/>
      <c r="O597" s="790"/>
      <c r="P597" s="175"/>
      <c r="Q597" s="175"/>
      <c r="R597" s="175"/>
      <c r="S597" s="167"/>
      <c r="T597" s="167"/>
      <c r="U597" s="175"/>
      <c r="V597" s="791"/>
      <c r="W597" s="175"/>
      <c r="X597" s="791"/>
      <c r="Y597" s="791"/>
      <c r="Z597" s="175"/>
      <c r="AA597" s="175"/>
      <c r="AB597" s="792"/>
      <c r="AC597" s="150"/>
      <c r="AD597" s="150"/>
      <c r="AE597" s="166"/>
      <c r="AF597" s="166"/>
      <c r="AG597" s="151"/>
      <c r="AH597" s="149"/>
      <c r="AI597" s="152"/>
      <c r="AJ597" s="152"/>
      <c r="AK597" s="152"/>
      <c r="AL597" s="152"/>
      <c r="AM597" s="152"/>
      <c r="AN597" s="152"/>
      <c r="AO597" s="165"/>
      <c r="AP597" s="152"/>
      <c r="AQ597" s="165"/>
      <c r="AR597" s="165"/>
      <c r="AS597" s="152"/>
      <c r="AT597" s="152"/>
      <c r="AU597" s="152"/>
      <c r="AV597" s="152"/>
      <c r="AW597" s="152"/>
    </row>
    <row r="598" spans="2:49" s="64" customFormat="1">
      <c r="B598" s="95"/>
      <c r="C598" s="148"/>
      <c r="D598" s="190"/>
      <c r="E598" s="175"/>
      <c r="F598" s="175"/>
      <c r="G598" s="175"/>
      <c r="H598" s="790"/>
      <c r="I598" s="175"/>
      <c r="J598" s="790"/>
      <c r="K598" s="175"/>
      <c r="L598" s="175"/>
      <c r="M598" s="790"/>
      <c r="N598" s="175"/>
      <c r="O598" s="790"/>
      <c r="P598" s="175"/>
      <c r="Q598" s="175"/>
      <c r="R598" s="175"/>
      <c r="S598" s="167"/>
      <c r="T598" s="167"/>
      <c r="U598" s="175"/>
      <c r="V598" s="791"/>
      <c r="W598" s="175"/>
      <c r="X598" s="791"/>
      <c r="Y598" s="791"/>
      <c r="Z598" s="175"/>
      <c r="AA598" s="175"/>
      <c r="AB598" s="792"/>
      <c r="AC598" s="150"/>
      <c r="AD598" s="150"/>
      <c r="AE598" s="166"/>
      <c r="AF598" s="166"/>
      <c r="AG598" s="151"/>
      <c r="AH598" s="149"/>
      <c r="AI598" s="152"/>
      <c r="AJ598" s="152"/>
      <c r="AK598" s="152"/>
      <c r="AL598" s="152"/>
      <c r="AM598" s="152"/>
      <c r="AN598" s="152"/>
      <c r="AO598" s="165"/>
      <c r="AP598" s="152"/>
      <c r="AQ598" s="165"/>
      <c r="AR598" s="165"/>
      <c r="AS598" s="152"/>
      <c r="AT598" s="152"/>
      <c r="AU598" s="152"/>
      <c r="AV598" s="152"/>
      <c r="AW598" s="152"/>
    </row>
  </sheetData>
  <mergeCells count="38">
    <mergeCell ref="C2:AB2"/>
    <mergeCell ref="G3:W3"/>
    <mergeCell ref="B4:B6"/>
    <mergeCell ref="C4:D6"/>
    <mergeCell ref="E4:E6"/>
    <mergeCell ref="F4:F6"/>
    <mergeCell ref="G4:R4"/>
    <mergeCell ref="S4:T4"/>
    <mergeCell ref="U4:W4"/>
    <mergeCell ref="X4:Z4"/>
    <mergeCell ref="Y5:Z5"/>
    <mergeCell ref="AA4:AA6"/>
    <mergeCell ref="AB4:AB6"/>
    <mergeCell ref="AX4:AX6"/>
    <mergeCell ref="AG4:AG6"/>
    <mergeCell ref="AH4:AH6"/>
    <mergeCell ref="AI4:AN5"/>
    <mergeCell ref="AO4:AP6"/>
    <mergeCell ref="AQ4:AQ6"/>
    <mergeCell ref="AK6:AL6"/>
    <mergeCell ref="T5:T6"/>
    <mergeCell ref="U5:U6"/>
    <mergeCell ref="V5:W5"/>
    <mergeCell ref="X5:X6"/>
    <mergeCell ref="G5:G6"/>
    <mergeCell ref="I5:Q5"/>
    <mergeCell ref="R5:R6"/>
    <mergeCell ref="S5:S6"/>
    <mergeCell ref="AM6:AN6"/>
    <mergeCell ref="AT6:AU6"/>
    <mergeCell ref="AR4:AS6"/>
    <mergeCell ref="C7:D7"/>
    <mergeCell ref="AT4:AW5"/>
    <mergeCell ref="AC4:AC6"/>
    <mergeCell ref="AD4:AD6"/>
    <mergeCell ref="AE4:AE6"/>
    <mergeCell ref="AF4:AF6"/>
    <mergeCell ref="AI6:AJ6"/>
  </mergeCells>
  <phoneticPr fontId="55" type="noConversion"/>
  <pageMargins left="0.7" right="0.7" top="0.75" bottom="0.75" header="0.3" footer="0.3"/>
  <pageSetup paperSize="9" scale="2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8"/>
  <sheetViews>
    <sheetView zoomScale="85" zoomScaleNormal="85" workbookViewId="0">
      <selection activeCell="C48" sqref="C48"/>
    </sheetView>
  </sheetViews>
  <sheetFormatPr defaultRowHeight="15"/>
  <cols>
    <col min="2" max="2" width="14" customWidth="1"/>
    <col min="6" max="6" width="10.5703125" customWidth="1"/>
    <col min="8" max="8" width="11.7109375" customWidth="1"/>
    <col min="9" max="9" width="14" customWidth="1"/>
    <col min="13" max="13" width="11.140625" customWidth="1"/>
  </cols>
  <sheetData>
    <row r="1" spans="1:15">
      <c r="A1" s="925" t="s">
        <v>123</v>
      </c>
      <c r="B1" s="926"/>
      <c r="C1" s="927"/>
      <c r="D1" s="927"/>
      <c r="E1" s="927"/>
      <c r="F1" s="927"/>
      <c r="G1" s="927"/>
      <c r="H1" s="926" t="s">
        <v>124</v>
      </c>
      <c r="I1" s="927"/>
      <c r="J1" s="927"/>
      <c r="K1" s="927"/>
      <c r="L1" s="927"/>
      <c r="M1" s="927"/>
      <c r="N1" s="927"/>
      <c r="O1" s="928"/>
    </row>
    <row r="2" spans="1:15">
      <c r="A2" s="929" t="s">
        <v>125</v>
      </c>
      <c r="B2" s="268"/>
      <c r="C2" s="268">
        <v>11973.4</v>
      </c>
      <c r="D2" s="268"/>
      <c r="E2" s="268"/>
      <c r="F2" s="268"/>
      <c r="G2" s="268"/>
      <c r="H2" s="268" t="s">
        <v>126</v>
      </c>
      <c r="I2" s="268"/>
      <c r="J2" s="268">
        <f>C2</f>
        <v>11973.4</v>
      </c>
      <c r="K2" s="268"/>
      <c r="L2" s="268"/>
      <c r="M2" s="268"/>
      <c r="N2" s="268"/>
      <c r="O2" s="930"/>
    </row>
    <row r="3" spans="1:15">
      <c r="A3" s="929" t="s">
        <v>127</v>
      </c>
      <c r="B3" s="268"/>
      <c r="C3" s="268">
        <v>1257.7</v>
      </c>
      <c r="D3" s="268"/>
      <c r="E3" s="268"/>
      <c r="F3" s="268"/>
      <c r="G3" s="268"/>
      <c r="H3" s="268" t="s">
        <v>127</v>
      </c>
      <c r="I3" s="268"/>
      <c r="J3" s="268">
        <v>1316.7</v>
      </c>
      <c r="K3" s="268"/>
      <c r="L3" s="268"/>
      <c r="M3" s="268"/>
      <c r="N3" s="268"/>
      <c r="O3" s="930"/>
    </row>
    <row r="4" spans="1:15" ht="42.75" customHeight="1">
      <c r="A4" s="706"/>
      <c r="B4" s="706" t="s">
        <v>1316</v>
      </c>
      <c r="C4" s="706" t="s">
        <v>128</v>
      </c>
      <c r="D4" s="706" t="s">
        <v>129</v>
      </c>
      <c r="E4" s="706" t="s">
        <v>130</v>
      </c>
      <c r="F4" s="706" t="s">
        <v>131</v>
      </c>
      <c r="G4" s="923"/>
      <c r="H4" s="706"/>
      <c r="I4" s="706" t="s">
        <v>1339</v>
      </c>
      <c r="J4" s="706" t="s">
        <v>128</v>
      </c>
      <c r="K4" s="706" t="s">
        <v>129</v>
      </c>
      <c r="L4" s="706" t="s">
        <v>130</v>
      </c>
      <c r="M4" s="706" t="s">
        <v>131</v>
      </c>
      <c r="N4" s="931"/>
      <c r="O4" s="932"/>
    </row>
    <row r="5" spans="1:15">
      <c r="A5" s="676" t="s">
        <v>1317</v>
      </c>
      <c r="B5" s="707">
        <v>37000</v>
      </c>
      <c r="C5" s="676">
        <v>8.44</v>
      </c>
      <c r="D5" s="676">
        <f>B5*C5</f>
        <v>312280</v>
      </c>
      <c r="E5" s="711">
        <f>D5/$C$2*$C$3</f>
        <v>32802.258005244963</v>
      </c>
      <c r="F5" s="711">
        <f>D5-E5</f>
        <v>279477.74199475505</v>
      </c>
      <c r="G5" s="924"/>
      <c r="H5" s="676" t="s">
        <v>1317</v>
      </c>
      <c r="I5" s="676">
        <v>613</v>
      </c>
      <c r="J5" s="676">
        <v>800</v>
      </c>
      <c r="K5" s="676">
        <f>I5*J5</f>
        <v>490400</v>
      </c>
      <c r="L5" s="711">
        <f>K5/$J$2*$J$3</f>
        <v>53928.681911570653</v>
      </c>
      <c r="M5" s="711">
        <f>K5-L5</f>
        <v>436471.31808842934</v>
      </c>
      <c r="N5" s="268"/>
      <c r="O5" s="932"/>
    </row>
    <row r="6" spans="1:15">
      <c r="A6" s="676" t="s">
        <v>1318</v>
      </c>
      <c r="B6" s="707">
        <v>34000</v>
      </c>
      <c r="C6" s="676">
        <v>8.44</v>
      </c>
      <c r="D6" s="676">
        <f t="shared" ref="D6:D16" si="0">B6*C6</f>
        <v>286960</v>
      </c>
      <c r="E6" s="711">
        <f t="shared" ref="E6:E16" si="1">D6/$C$2*$C$3</f>
        <v>30142.615464279155</v>
      </c>
      <c r="F6" s="711">
        <f t="shared" ref="F6:F16" si="2">D6-E6</f>
        <v>256817.38453572083</v>
      </c>
      <c r="G6" s="924"/>
      <c r="H6" s="676" t="s">
        <v>1318</v>
      </c>
      <c r="I6" s="676">
        <v>555</v>
      </c>
      <c r="J6" s="676">
        <v>800</v>
      </c>
      <c r="K6" s="676">
        <f t="shared" ref="K6:K16" si="3">I6*J6</f>
        <v>444000</v>
      </c>
      <c r="L6" s="711">
        <f t="shared" ref="L6:L16" si="4">K6/$J$2*$J$3</f>
        <v>48826.131257621062</v>
      </c>
      <c r="M6" s="711">
        <f t="shared" ref="M6:M16" si="5">K6-L6</f>
        <v>395173.86874237895</v>
      </c>
      <c r="N6" s="268"/>
      <c r="O6" s="932"/>
    </row>
    <row r="7" spans="1:15">
      <c r="A7" s="676" t="s">
        <v>1319</v>
      </c>
      <c r="B7" s="707">
        <v>30000</v>
      </c>
      <c r="C7" s="676">
        <v>8.44</v>
      </c>
      <c r="D7" s="676">
        <f t="shared" si="0"/>
        <v>253199.99999999997</v>
      </c>
      <c r="E7" s="711">
        <f t="shared" si="1"/>
        <v>26596.425409658073</v>
      </c>
      <c r="F7" s="711">
        <f t="shared" si="2"/>
        <v>226603.57459034189</v>
      </c>
      <c r="G7" s="924"/>
      <c r="H7" s="676" t="s">
        <v>1319</v>
      </c>
      <c r="I7" s="676">
        <v>613</v>
      </c>
      <c r="J7" s="676">
        <v>800</v>
      </c>
      <c r="K7" s="676">
        <f t="shared" si="3"/>
        <v>490400</v>
      </c>
      <c r="L7" s="711">
        <f t="shared" si="4"/>
        <v>53928.681911570653</v>
      </c>
      <c r="M7" s="711">
        <f t="shared" si="5"/>
        <v>436471.31808842934</v>
      </c>
      <c r="N7" s="268"/>
      <c r="O7" s="932"/>
    </row>
    <row r="8" spans="1:15">
      <c r="A8" s="676" t="s">
        <v>1320</v>
      </c>
      <c r="B8" s="707">
        <v>30000</v>
      </c>
      <c r="C8" s="676">
        <v>8.44</v>
      </c>
      <c r="D8" s="676">
        <f t="shared" si="0"/>
        <v>253199.99999999997</v>
      </c>
      <c r="E8" s="711">
        <f t="shared" si="1"/>
        <v>26596.425409658073</v>
      </c>
      <c r="F8" s="711">
        <f t="shared" si="2"/>
        <v>226603.57459034189</v>
      </c>
      <c r="G8" s="924"/>
      <c r="H8" s="676" t="s">
        <v>1320</v>
      </c>
      <c r="I8" s="676">
        <v>297</v>
      </c>
      <c r="J8" s="676">
        <v>800</v>
      </c>
      <c r="K8" s="676">
        <f t="shared" si="3"/>
        <v>237600</v>
      </c>
      <c r="L8" s="711">
        <f t="shared" si="4"/>
        <v>26128.578348672894</v>
      </c>
      <c r="M8" s="711">
        <f t="shared" si="5"/>
        <v>211471.42165132711</v>
      </c>
      <c r="N8" s="268"/>
      <c r="O8" s="932"/>
    </row>
    <row r="9" spans="1:15">
      <c r="A9" s="676" t="s">
        <v>1321</v>
      </c>
      <c r="B9" s="707">
        <v>25000</v>
      </c>
      <c r="C9" s="676">
        <v>8.44</v>
      </c>
      <c r="D9" s="676">
        <f t="shared" si="0"/>
        <v>211000</v>
      </c>
      <c r="E9" s="711">
        <f t="shared" si="1"/>
        <v>22163.687841381732</v>
      </c>
      <c r="F9" s="711">
        <f t="shared" si="2"/>
        <v>188836.31215861827</v>
      </c>
      <c r="G9" s="924"/>
      <c r="H9" s="676" t="s">
        <v>1321</v>
      </c>
      <c r="I9" s="676"/>
      <c r="J9" s="676"/>
      <c r="K9" s="676"/>
      <c r="L9" s="676"/>
      <c r="M9" s="676"/>
      <c r="N9" s="268"/>
      <c r="O9" s="932"/>
    </row>
    <row r="10" spans="1:15">
      <c r="A10" s="676" t="s">
        <v>1322</v>
      </c>
      <c r="B10" s="707">
        <v>20000</v>
      </c>
      <c r="C10" s="676">
        <v>8.44</v>
      </c>
      <c r="D10" s="676">
        <f t="shared" si="0"/>
        <v>168800</v>
      </c>
      <c r="E10" s="711">
        <f t="shared" si="1"/>
        <v>17730.950273105384</v>
      </c>
      <c r="F10" s="711">
        <f t="shared" si="2"/>
        <v>151069.04972689462</v>
      </c>
      <c r="G10" s="924"/>
      <c r="H10" s="676" t="s">
        <v>1322</v>
      </c>
      <c r="I10" s="676"/>
      <c r="J10" s="676"/>
      <c r="K10" s="676"/>
      <c r="L10" s="676"/>
      <c r="M10" s="676"/>
      <c r="N10" s="268"/>
      <c r="O10" s="932"/>
    </row>
    <row r="11" spans="1:15">
      <c r="A11" s="676" t="s">
        <v>1323</v>
      </c>
      <c r="B11" s="707">
        <v>20000</v>
      </c>
      <c r="C11" s="676">
        <v>8.44</v>
      </c>
      <c r="D11" s="676">
        <f t="shared" si="0"/>
        <v>168800</v>
      </c>
      <c r="E11" s="711">
        <f t="shared" si="1"/>
        <v>17730.950273105384</v>
      </c>
      <c r="F11" s="711">
        <f t="shared" si="2"/>
        <v>151069.04972689462</v>
      </c>
      <c r="G11" s="924"/>
      <c r="H11" s="676" t="s">
        <v>1323</v>
      </c>
      <c r="I11" s="676"/>
      <c r="J11" s="676"/>
      <c r="K11" s="676"/>
      <c r="L11" s="676"/>
      <c r="M11" s="676"/>
      <c r="N11" s="268"/>
      <c r="O11" s="932"/>
    </row>
    <row r="12" spans="1:15">
      <c r="A12" s="676" t="s">
        <v>1324</v>
      </c>
      <c r="B12" s="707">
        <v>20000</v>
      </c>
      <c r="C12" s="676">
        <v>8.44</v>
      </c>
      <c r="D12" s="676">
        <f t="shared" si="0"/>
        <v>168800</v>
      </c>
      <c r="E12" s="711">
        <f t="shared" si="1"/>
        <v>17730.950273105384</v>
      </c>
      <c r="F12" s="711">
        <f t="shared" si="2"/>
        <v>151069.04972689462</v>
      </c>
      <c r="G12" s="924"/>
      <c r="H12" s="676" t="s">
        <v>1324</v>
      </c>
      <c r="I12" s="676"/>
      <c r="J12" s="676"/>
      <c r="K12" s="676"/>
      <c r="L12" s="676"/>
      <c r="M12" s="676"/>
      <c r="N12" s="268"/>
      <c r="O12" s="932"/>
    </row>
    <row r="13" spans="1:15">
      <c r="A13" s="676" t="s">
        <v>1325</v>
      </c>
      <c r="B13" s="707">
        <v>30000</v>
      </c>
      <c r="C13" s="676">
        <v>8.44</v>
      </c>
      <c r="D13" s="676">
        <f t="shared" si="0"/>
        <v>253199.99999999997</v>
      </c>
      <c r="E13" s="711">
        <f t="shared" si="1"/>
        <v>26596.425409658073</v>
      </c>
      <c r="F13" s="711">
        <f t="shared" si="2"/>
        <v>226603.57459034189</v>
      </c>
      <c r="G13" s="924"/>
      <c r="H13" s="676" t="s">
        <v>1325</v>
      </c>
      <c r="I13" s="676"/>
      <c r="J13" s="676"/>
      <c r="K13" s="676"/>
      <c r="L13" s="676"/>
      <c r="M13" s="676"/>
      <c r="N13" s="268"/>
      <c r="O13" s="932"/>
    </row>
    <row r="14" spans="1:15">
      <c r="A14" s="676" t="s">
        <v>1326</v>
      </c>
      <c r="B14" s="707">
        <v>33000</v>
      </c>
      <c r="C14" s="676">
        <v>8.44</v>
      </c>
      <c r="D14" s="676">
        <f t="shared" si="0"/>
        <v>278520</v>
      </c>
      <c r="E14" s="711">
        <f t="shared" si="1"/>
        <v>29256.067950623881</v>
      </c>
      <c r="F14" s="711">
        <f t="shared" si="2"/>
        <v>249263.93204937613</v>
      </c>
      <c r="G14" s="924"/>
      <c r="H14" s="676" t="s">
        <v>1326</v>
      </c>
      <c r="I14" s="676">
        <v>316</v>
      </c>
      <c r="J14" s="676">
        <v>800</v>
      </c>
      <c r="K14" s="676">
        <f t="shared" si="3"/>
        <v>252800</v>
      </c>
      <c r="L14" s="711">
        <f t="shared" si="4"/>
        <v>27800.103562897759</v>
      </c>
      <c r="M14" s="711">
        <f t="shared" si="5"/>
        <v>224999.89643710223</v>
      </c>
      <c r="N14" s="268"/>
      <c r="O14" s="932"/>
    </row>
    <row r="15" spans="1:15">
      <c r="A15" s="676" t="s">
        <v>1327</v>
      </c>
      <c r="B15" s="707">
        <v>35000</v>
      </c>
      <c r="C15" s="676">
        <v>8.44</v>
      </c>
      <c r="D15" s="676">
        <f t="shared" si="0"/>
        <v>295400</v>
      </c>
      <c r="E15" s="711">
        <f t="shared" si="1"/>
        <v>31029.162977934426</v>
      </c>
      <c r="F15" s="711">
        <f t="shared" si="2"/>
        <v>264370.83702206559</v>
      </c>
      <c r="G15" s="924"/>
      <c r="H15" s="676" t="s">
        <v>1327</v>
      </c>
      <c r="I15" s="676">
        <v>593</v>
      </c>
      <c r="J15" s="676">
        <v>800</v>
      </c>
      <c r="K15" s="676">
        <f t="shared" si="3"/>
        <v>474400</v>
      </c>
      <c r="L15" s="711">
        <f t="shared" si="4"/>
        <v>52169.181686070791</v>
      </c>
      <c r="M15" s="711">
        <f t="shared" si="5"/>
        <v>422230.81831392919</v>
      </c>
      <c r="N15" s="268"/>
      <c r="O15" s="932"/>
    </row>
    <row r="16" spans="1:15">
      <c r="A16" s="676" t="s">
        <v>1328</v>
      </c>
      <c r="B16" s="707">
        <v>36000</v>
      </c>
      <c r="C16" s="676">
        <v>8.44</v>
      </c>
      <c r="D16" s="676">
        <f t="shared" si="0"/>
        <v>303840</v>
      </c>
      <c r="E16" s="711">
        <f t="shared" si="1"/>
        <v>31915.710491589693</v>
      </c>
      <c r="F16" s="711">
        <f t="shared" si="2"/>
        <v>271924.28950841032</v>
      </c>
      <c r="G16" s="924"/>
      <c r="H16" s="676" t="s">
        <v>1328</v>
      </c>
      <c r="I16" s="676">
        <v>613</v>
      </c>
      <c r="J16" s="676">
        <v>800</v>
      </c>
      <c r="K16" s="676">
        <f t="shared" si="3"/>
        <v>490400</v>
      </c>
      <c r="L16" s="711">
        <f t="shared" si="4"/>
        <v>53928.681911570653</v>
      </c>
      <c r="M16" s="711">
        <f t="shared" si="5"/>
        <v>436471.31808842934</v>
      </c>
      <c r="N16" s="268"/>
      <c r="O16" s="932"/>
    </row>
    <row r="17" spans="1:15">
      <c r="A17" s="676" t="s">
        <v>1424</v>
      </c>
      <c r="B17" s="707">
        <f>SUM(B5:B16)</f>
        <v>350000</v>
      </c>
      <c r="C17" s="676"/>
      <c r="D17" s="707">
        <f>SUM(D5:D16)</f>
        <v>2954000</v>
      </c>
      <c r="E17" s="707">
        <f>SUM(E5:E16)</f>
        <v>310291.62977934419</v>
      </c>
      <c r="F17" s="707">
        <f>SUM(F5:F16)</f>
        <v>2643708.3702206556</v>
      </c>
      <c r="G17" s="924"/>
      <c r="H17" s="676" t="s">
        <v>1424</v>
      </c>
      <c r="I17" s="707">
        <f>SUM(I5:I16)</f>
        <v>3600</v>
      </c>
      <c r="J17" s="676"/>
      <c r="K17" s="707">
        <f>SUM(K5:K16)</f>
        <v>2880000</v>
      </c>
      <c r="L17" s="707">
        <f>SUM(L5:L16)</f>
        <v>316710.04058997449</v>
      </c>
      <c r="M17" s="707">
        <f>SUM(M5:M16)</f>
        <v>2563289.9594100257</v>
      </c>
      <c r="N17" s="268"/>
      <c r="O17" s="932"/>
    </row>
    <row r="18" spans="1:15">
      <c r="A18" s="708" t="s">
        <v>1586</v>
      </c>
      <c r="B18" s="709">
        <f>B5+B6+B7</f>
        <v>101000</v>
      </c>
      <c r="C18" s="708"/>
      <c r="D18" s="709">
        <f>D5+D6+D7</f>
        <v>852440</v>
      </c>
      <c r="E18" s="709">
        <f>E5+E6+E7</f>
        <v>89541.298879182184</v>
      </c>
      <c r="F18" s="709">
        <f>F5+F6+F7</f>
        <v>762898.7011208178</v>
      </c>
      <c r="G18" s="924"/>
      <c r="H18" s="708" t="s">
        <v>1586</v>
      </c>
      <c r="I18" s="709">
        <f>I5+I6+I7</f>
        <v>1781</v>
      </c>
      <c r="J18" s="708"/>
      <c r="K18" s="709">
        <f>K5+K6+K7</f>
        <v>1424800</v>
      </c>
      <c r="L18" s="709">
        <f>L5+L6+L7</f>
        <v>156683.49508076237</v>
      </c>
      <c r="M18" s="709">
        <f>M5+M6+M7</f>
        <v>1268116.5049192377</v>
      </c>
      <c r="N18" s="268"/>
      <c r="O18" s="932"/>
    </row>
    <row r="19" spans="1:15">
      <c r="A19" s="708" t="s">
        <v>1587</v>
      </c>
      <c r="B19" s="709">
        <f>B8+B9+B10</f>
        <v>75000</v>
      </c>
      <c r="C19" s="708"/>
      <c r="D19" s="709">
        <f>D8+D9+D10</f>
        <v>633000</v>
      </c>
      <c r="E19" s="709">
        <f>E8+E9+E10</f>
        <v>66491.063524145182</v>
      </c>
      <c r="F19" s="709">
        <f>F8+F9+F10</f>
        <v>566508.93647585472</v>
      </c>
      <c r="G19" s="924"/>
      <c r="H19" s="708" t="s">
        <v>1587</v>
      </c>
      <c r="I19" s="709">
        <f>I8+I9+I10</f>
        <v>297</v>
      </c>
      <c r="J19" s="708"/>
      <c r="K19" s="709">
        <f>K8+K9+K10</f>
        <v>237600</v>
      </c>
      <c r="L19" s="709">
        <f>L8+L9+L10</f>
        <v>26128.578348672894</v>
      </c>
      <c r="M19" s="709">
        <f>M8+M9+M10</f>
        <v>211471.42165132711</v>
      </c>
      <c r="N19" s="268"/>
      <c r="O19" s="932"/>
    </row>
    <row r="20" spans="1:15">
      <c r="A20" s="708" t="s">
        <v>1588</v>
      </c>
      <c r="B20" s="709">
        <f>B11+B12+B13</f>
        <v>70000</v>
      </c>
      <c r="C20" s="708"/>
      <c r="D20" s="709">
        <f>D11+D12+D13</f>
        <v>590800</v>
      </c>
      <c r="E20" s="709">
        <f>E11+E12+E13</f>
        <v>62058.325955868844</v>
      </c>
      <c r="F20" s="709">
        <f>F11+F12+F13</f>
        <v>528741.67404413107</v>
      </c>
      <c r="G20" s="924"/>
      <c r="H20" s="708" t="s">
        <v>1588</v>
      </c>
      <c r="I20" s="709">
        <f>I11+I12+I13</f>
        <v>0</v>
      </c>
      <c r="J20" s="708"/>
      <c r="K20" s="709">
        <f>K11+K12+K13</f>
        <v>0</v>
      </c>
      <c r="L20" s="709">
        <f>L11+L12+L13</f>
        <v>0</v>
      </c>
      <c r="M20" s="709">
        <f>M11+M12+M13</f>
        <v>0</v>
      </c>
      <c r="N20" s="268"/>
      <c r="O20" s="932"/>
    </row>
    <row r="21" spans="1:15">
      <c r="A21" s="708" t="s">
        <v>1338</v>
      </c>
      <c r="B21" s="709">
        <f>B14+B15+B16</f>
        <v>104000</v>
      </c>
      <c r="C21" s="708"/>
      <c r="D21" s="709">
        <f>D14+D15+D16</f>
        <v>877760</v>
      </c>
      <c r="E21" s="709">
        <f>E14+E15+E16</f>
        <v>92200.941420147996</v>
      </c>
      <c r="F21" s="709">
        <f>F14+F15+F16</f>
        <v>785559.05857985211</v>
      </c>
      <c r="G21" s="924"/>
      <c r="H21" s="708" t="s">
        <v>1338</v>
      </c>
      <c r="I21" s="709">
        <f>I14+I15+I16</f>
        <v>1522</v>
      </c>
      <c r="J21" s="708"/>
      <c r="K21" s="709">
        <f>K14+K15+K16</f>
        <v>1217600</v>
      </c>
      <c r="L21" s="709">
        <f>L14+L15+L16</f>
        <v>133897.96716053921</v>
      </c>
      <c r="M21" s="709">
        <f>M14+M15+M16</f>
        <v>1083702.0328394608</v>
      </c>
      <c r="N21" s="268"/>
      <c r="O21" s="932"/>
    </row>
    <row r="22" spans="1:15">
      <c r="A22" s="708" t="s">
        <v>1424</v>
      </c>
      <c r="B22" s="709">
        <f>SUM(B18:B21)</f>
        <v>350000</v>
      </c>
      <c r="C22" s="708"/>
      <c r="D22" s="709">
        <f>SUM(D18:D21)</f>
        <v>2954000</v>
      </c>
      <c r="E22" s="709">
        <f>SUM(E18:E21)</f>
        <v>310291.62977934419</v>
      </c>
      <c r="F22" s="709">
        <f>SUM(F18:F21)</f>
        <v>2643708.3702206556</v>
      </c>
      <c r="G22" s="924"/>
      <c r="H22" s="708" t="s">
        <v>1424</v>
      </c>
      <c r="I22" s="709">
        <f>SUM(I18:I21)</f>
        <v>3600</v>
      </c>
      <c r="J22" s="708"/>
      <c r="K22" s="709">
        <f>SUM(K18:K21)</f>
        <v>2880000</v>
      </c>
      <c r="L22" s="709">
        <f>SUM(L18:L21)</f>
        <v>316710.04058997449</v>
      </c>
      <c r="M22" s="709">
        <f>SUM(M18:M21)</f>
        <v>2563289.9594100257</v>
      </c>
      <c r="N22" s="268"/>
      <c r="O22" s="932"/>
    </row>
    <row r="23" spans="1:15">
      <c r="A23" s="929"/>
      <c r="B23" s="268"/>
      <c r="C23" s="268"/>
      <c r="D23" s="268"/>
      <c r="E23" s="268"/>
      <c r="F23" s="933"/>
      <c r="G23" s="268"/>
      <c r="H23" s="268"/>
      <c r="I23" s="268"/>
      <c r="J23" s="268"/>
      <c r="K23" s="268"/>
      <c r="L23" s="268"/>
      <c r="M23" s="268"/>
      <c r="N23" s="268"/>
      <c r="O23" s="930"/>
    </row>
    <row r="24" spans="1:15">
      <c r="A24" s="934" t="s">
        <v>132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930"/>
    </row>
    <row r="25" spans="1:15">
      <c r="A25" s="929" t="s">
        <v>133</v>
      </c>
      <c r="B25" s="268"/>
      <c r="C25" s="268">
        <f>C2</f>
        <v>11973.4</v>
      </c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930"/>
    </row>
    <row r="26" spans="1:15">
      <c r="A26" s="929" t="s">
        <v>127</v>
      </c>
      <c r="B26" s="268"/>
      <c r="C26" s="268">
        <v>1239.5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930"/>
    </row>
    <row r="27" spans="1:15" ht="41.25" customHeight="1">
      <c r="A27" s="710"/>
      <c r="B27" s="710" t="s">
        <v>1339</v>
      </c>
      <c r="C27" s="710" t="s">
        <v>128</v>
      </c>
      <c r="D27" s="710" t="s">
        <v>129</v>
      </c>
      <c r="E27" s="710" t="s">
        <v>130</v>
      </c>
      <c r="F27" s="710" t="s">
        <v>131</v>
      </c>
      <c r="G27" s="268"/>
      <c r="H27" s="712"/>
      <c r="I27" s="712"/>
      <c r="J27" s="712"/>
      <c r="K27" s="712"/>
      <c r="L27" s="712"/>
      <c r="M27" s="712"/>
      <c r="N27" s="268"/>
      <c r="O27" s="930"/>
    </row>
    <row r="28" spans="1:15">
      <c r="A28" s="676" t="s">
        <v>1317</v>
      </c>
      <c r="B28" s="676">
        <v>32</v>
      </c>
      <c r="C28" s="676">
        <v>255</v>
      </c>
      <c r="D28" s="676">
        <f>B28*C28</f>
        <v>8160</v>
      </c>
      <c r="E28" s="711">
        <f>D28/$C$25*$C$26</f>
        <v>844.73249035361732</v>
      </c>
      <c r="F28" s="711">
        <f>D28-E28</f>
        <v>7315.2675096463827</v>
      </c>
      <c r="G28" s="268"/>
      <c r="H28" s="713"/>
      <c r="I28" s="268"/>
      <c r="J28" s="268"/>
      <c r="K28" s="268"/>
      <c r="L28" s="268"/>
      <c r="M28" s="268"/>
      <c r="N28" s="268"/>
      <c r="O28" s="930"/>
    </row>
    <row r="29" spans="1:15">
      <c r="A29" s="676" t="s">
        <v>1318</v>
      </c>
      <c r="B29" s="676">
        <v>32</v>
      </c>
      <c r="C29" s="676">
        <v>255</v>
      </c>
      <c r="D29" s="676">
        <f t="shared" ref="D29:D39" si="6">B29*C29</f>
        <v>8160</v>
      </c>
      <c r="E29" s="711">
        <f t="shared" ref="E29:E39" si="7">D29/$C$25*$C$26</f>
        <v>844.73249035361732</v>
      </c>
      <c r="F29" s="711">
        <f t="shared" ref="F29:F39" si="8">D29-E29</f>
        <v>7315.2675096463827</v>
      </c>
      <c r="G29" s="268"/>
      <c r="H29" s="713"/>
      <c r="I29" s="268"/>
      <c r="J29" s="268"/>
      <c r="K29" s="268"/>
      <c r="L29" s="268"/>
      <c r="M29" s="268"/>
      <c r="N29" s="268"/>
      <c r="O29" s="930"/>
    </row>
    <row r="30" spans="1:15">
      <c r="A30" s="676" t="s">
        <v>1319</v>
      </c>
      <c r="B30" s="676">
        <v>32</v>
      </c>
      <c r="C30" s="676">
        <v>255</v>
      </c>
      <c r="D30" s="676">
        <f t="shared" si="6"/>
        <v>8160</v>
      </c>
      <c r="E30" s="711">
        <f t="shared" si="7"/>
        <v>844.73249035361732</v>
      </c>
      <c r="F30" s="711">
        <f t="shared" si="8"/>
        <v>7315.2675096463827</v>
      </c>
      <c r="G30" s="268"/>
      <c r="H30" s="268"/>
      <c r="I30" s="268"/>
      <c r="J30" s="268"/>
      <c r="K30" s="268"/>
      <c r="L30" s="268"/>
      <c r="M30" s="268"/>
      <c r="N30" s="268"/>
      <c r="O30" s="930"/>
    </row>
    <row r="31" spans="1:15">
      <c r="A31" s="676" t="s">
        <v>1320</v>
      </c>
      <c r="B31" s="676">
        <v>32</v>
      </c>
      <c r="C31" s="676">
        <v>255</v>
      </c>
      <c r="D31" s="676">
        <f t="shared" si="6"/>
        <v>8160</v>
      </c>
      <c r="E31" s="711">
        <f t="shared" si="7"/>
        <v>844.73249035361732</v>
      </c>
      <c r="F31" s="711">
        <f t="shared" si="8"/>
        <v>7315.2675096463827</v>
      </c>
      <c r="G31" s="268"/>
      <c r="H31" s="713"/>
      <c r="I31" s="268"/>
      <c r="J31" s="268"/>
      <c r="K31" s="268"/>
      <c r="L31" s="268"/>
      <c r="M31" s="268"/>
      <c r="N31" s="1013" t="s">
        <v>280</v>
      </c>
      <c r="O31" s="1014"/>
    </row>
    <row r="32" spans="1:15">
      <c r="A32" s="676" t="s">
        <v>1321</v>
      </c>
      <c r="B32" s="676">
        <v>32</v>
      </c>
      <c r="C32" s="676">
        <v>255</v>
      </c>
      <c r="D32" s="676">
        <f t="shared" si="6"/>
        <v>8160</v>
      </c>
      <c r="E32" s="711">
        <f t="shared" si="7"/>
        <v>844.73249035361732</v>
      </c>
      <c r="F32" s="711">
        <f t="shared" si="8"/>
        <v>7315.2675096463827</v>
      </c>
      <c r="G32" s="268"/>
      <c r="H32" s="713" t="s">
        <v>134</v>
      </c>
      <c r="I32" s="713"/>
      <c r="J32" s="268"/>
      <c r="K32" s="713" t="s">
        <v>279</v>
      </c>
      <c r="L32" s="713"/>
      <c r="M32" s="713"/>
      <c r="N32" s="1013"/>
      <c r="O32" s="1014"/>
    </row>
    <row r="33" spans="1:15">
      <c r="A33" s="676" t="s">
        <v>1322</v>
      </c>
      <c r="B33" s="676">
        <v>32</v>
      </c>
      <c r="C33" s="676">
        <v>255</v>
      </c>
      <c r="D33" s="676">
        <f t="shared" si="6"/>
        <v>8160</v>
      </c>
      <c r="E33" s="711">
        <f t="shared" si="7"/>
        <v>844.73249035361732</v>
      </c>
      <c r="F33" s="711">
        <f t="shared" si="8"/>
        <v>7315.2675096463827</v>
      </c>
      <c r="G33" s="268"/>
      <c r="H33" s="268"/>
      <c r="I33" s="268"/>
      <c r="J33" s="268"/>
      <c r="K33" s="268"/>
      <c r="L33" s="268"/>
      <c r="M33" s="268"/>
      <c r="N33" s="268"/>
      <c r="O33" s="930"/>
    </row>
    <row r="34" spans="1:15">
      <c r="A34" s="676" t="s">
        <v>1323</v>
      </c>
      <c r="B34" s="676">
        <v>33</v>
      </c>
      <c r="C34" s="676">
        <v>255</v>
      </c>
      <c r="D34" s="676">
        <f>B34*C34</f>
        <v>8415</v>
      </c>
      <c r="E34" s="711">
        <f t="shared" si="7"/>
        <v>871.13038067716775</v>
      </c>
      <c r="F34" s="711">
        <f t="shared" si="8"/>
        <v>7543.8696193228325</v>
      </c>
      <c r="G34" s="268"/>
      <c r="H34" s="708" t="s">
        <v>1586</v>
      </c>
      <c r="I34" s="709">
        <f>D41+K18</f>
        <v>1449280</v>
      </c>
      <c r="J34" s="268"/>
      <c r="K34" s="708" t="s">
        <v>1586</v>
      </c>
      <c r="L34" s="709">
        <f>D18+K18+D41</f>
        <v>2301720</v>
      </c>
      <c r="M34" s="268"/>
      <c r="N34" s="708" t="s">
        <v>1586</v>
      </c>
      <c r="O34" s="709">
        <f>F18+M18+F41</f>
        <v>2052961.0085689947</v>
      </c>
    </row>
    <row r="35" spans="1:15">
      <c r="A35" s="676" t="s">
        <v>1324</v>
      </c>
      <c r="B35" s="676">
        <v>33</v>
      </c>
      <c r="C35" s="676">
        <v>255</v>
      </c>
      <c r="D35" s="676">
        <f t="shared" si="6"/>
        <v>8415</v>
      </c>
      <c r="E35" s="711">
        <f t="shared" si="7"/>
        <v>871.13038067716775</v>
      </c>
      <c r="F35" s="711">
        <f t="shared" si="8"/>
        <v>7543.8696193228325</v>
      </c>
      <c r="G35" s="268"/>
      <c r="H35" s="708" t="s">
        <v>1587</v>
      </c>
      <c r="I35" s="709">
        <f>D42+K19</f>
        <v>262080</v>
      </c>
      <c r="J35" s="268"/>
      <c r="K35" s="708" t="s">
        <v>1587</v>
      </c>
      <c r="L35" s="709">
        <f>D19+K19+D42</f>
        <v>895080</v>
      </c>
      <c r="M35" s="268"/>
      <c r="N35" s="708" t="s">
        <v>1587</v>
      </c>
      <c r="O35" s="709">
        <f>F19+M19+F42</f>
        <v>799926.16065612098</v>
      </c>
    </row>
    <row r="36" spans="1:15">
      <c r="A36" s="676" t="s">
        <v>1325</v>
      </c>
      <c r="B36" s="676">
        <v>33</v>
      </c>
      <c r="C36" s="676">
        <v>255</v>
      </c>
      <c r="D36" s="676">
        <f t="shared" si="6"/>
        <v>8415</v>
      </c>
      <c r="E36" s="711">
        <f t="shared" si="7"/>
        <v>871.13038067716775</v>
      </c>
      <c r="F36" s="711">
        <f t="shared" si="8"/>
        <v>7543.8696193228325</v>
      </c>
      <c r="G36" s="268"/>
      <c r="H36" s="708" t="s">
        <v>1588</v>
      </c>
      <c r="I36" s="709">
        <f>D43+K20</f>
        <v>25245</v>
      </c>
      <c r="J36" s="268"/>
      <c r="K36" s="708" t="s">
        <v>1588</v>
      </c>
      <c r="L36" s="709">
        <f>D20+K20+D43</f>
        <v>616045</v>
      </c>
      <c r="M36" s="268"/>
      <c r="N36" s="708" t="s">
        <v>1588</v>
      </c>
      <c r="O36" s="709">
        <f>F20+M20+F43</f>
        <v>551373.28290209954</v>
      </c>
    </row>
    <row r="37" spans="1:15">
      <c r="A37" s="676" t="s">
        <v>1326</v>
      </c>
      <c r="B37" s="676">
        <v>33</v>
      </c>
      <c r="C37" s="676">
        <v>255</v>
      </c>
      <c r="D37" s="676">
        <f t="shared" si="6"/>
        <v>8415</v>
      </c>
      <c r="E37" s="711">
        <f t="shared" si="7"/>
        <v>871.13038067716775</v>
      </c>
      <c r="F37" s="711">
        <f t="shared" si="8"/>
        <v>7543.8696193228325</v>
      </c>
      <c r="G37" s="268"/>
      <c r="H37" s="708" t="s">
        <v>1338</v>
      </c>
      <c r="I37" s="709">
        <f>D44+K21</f>
        <v>1242845</v>
      </c>
      <c r="J37" s="268"/>
      <c r="K37" s="708" t="s">
        <v>1338</v>
      </c>
      <c r="L37" s="709">
        <f>D21+K21+D44</f>
        <v>2120605</v>
      </c>
      <c r="M37" s="268"/>
      <c r="N37" s="708" t="s">
        <v>1338</v>
      </c>
      <c r="O37" s="709">
        <f>F21+M21+F44</f>
        <v>1891892.7002772815</v>
      </c>
    </row>
    <row r="38" spans="1:15">
      <c r="A38" s="676" t="s">
        <v>1327</v>
      </c>
      <c r="B38" s="676">
        <v>33</v>
      </c>
      <c r="C38" s="676">
        <v>255</v>
      </c>
      <c r="D38" s="676">
        <f t="shared" si="6"/>
        <v>8415</v>
      </c>
      <c r="E38" s="711">
        <f t="shared" si="7"/>
        <v>871.13038067716775</v>
      </c>
      <c r="F38" s="711">
        <f t="shared" si="8"/>
        <v>7543.8696193228325</v>
      </c>
      <c r="G38" s="268"/>
      <c r="H38" s="708" t="s">
        <v>1424</v>
      </c>
      <c r="I38" s="709">
        <f>SUM(I34:I37)</f>
        <v>2979450</v>
      </c>
      <c r="J38" s="268"/>
      <c r="K38" s="708" t="s">
        <v>1424</v>
      </c>
      <c r="L38" s="709">
        <f>SUM(L34:L37)</f>
        <v>5933450</v>
      </c>
      <c r="M38" s="268"/>
      <c r="N38" s="708" t="s">
        <v>1424</v>
      </c>
      <c r="O38" s="709">
        <f>SUM(O34:O37)</f>
        <v>5296153.1524044964</v>
      </c>
    </row>
    <row r="39" spans="1:15">
      <c r="A39" s="676" t="s">
        <v>1328</v>
      </c>
      <c r="B39" s="676">
        <v>33</v>
      </c>
      <c r="C39" s="676">
        <v>255</v>
      </c>
      <c r="D39" s="676">
        <f t="shared" si="6"/>
        <v>8415</v>
      </c>
      <c r="E39" s="711">
        <f t="shared" si="7"/>
        <v>871.13038067716775</v>
      </c>
      <c r="F39" s="711">
        <f t="shared" si="8"/>
        <v>7543.8696193228325</v>
      </c>
      <c r="G39" s="268"/>
      <c r="H39" s="268"/>
      <c r="I39" s="268"/>
      <c r="J39" s="268"/>
      <c r="K39" s="268"/>
      <c r="L39" s="268"/>
      <c r="M39" s="268"/>
      <c r="N39" s="268"/>
      <c r="O39" s="930"/>
    </row>
    <row r="40" spans="1:15">
      <c r="A40" s="676" t="s">
        <v>1424</v>
      </c>
      <c r="B40" s="707">
        <f>SUM(B28:B39)</f>
        <v>390</v>
      </c>
      <c r="C40" s="676"/>
      <c r="D40" s="707">
        <f>SUM(D28:D39)</f>
        <v>99450</v>
      </c>
      <c r="E40" s="707">
        <f>SUM(E28:E39)</f>
        <v>10295.177226184711</v>
      </c>
      <c r="F40" s="707">
        <f>SUM(F28:F39)</f>
        <v>89154.822773815307</v>
      </c>
      <c r="G40" s="268"/>
      <c r="H40" s="268"/>
      <c r="I40" s="268"/>
      <c r="J40" s="268"/>
      <c r="K40" s="268"/>
      <c r="L40" s="268"/>
      <c r="M40" s="268"/>
      <c r="N40" s="268"/>
      <c r="O40" s="930"/>
    </row>
    <row r="41" spans="1:15">
      <c r="A41" s="708" t="s">
        <v>1586</v>
      </c>
      <c r="B41" s="709">
        <f>B28+B29+B30</f>
        <v>96</v>
      </c>
      <c r="C41" s="708"/>
      <c r="D41" s="709">
        <f>D28+D29+D30</f>
        <v>24480</v>
      </c>
      <c r="E41" s="709">
        <f>E28+E29+E30</f>
        <v>2534.197471060852</v>
      </c>
      <c r="F41" s="709">
        <f>F28+F29+F30</f>
        <v>21945.802528939148</v>
      </c>
      <c r="G41" s="268"/>
      <c r="H41" s="268"/>
      <c r="I41" s="268"/>
      <c r="J41" s="268"/>
      <c r="K41" s="268"/>
      <c r="L41" s="268"/>
      <c r="M41" s="268"/>
      <c r="N41" s="268"/>
      <c r="O41" s="930"/>
    </row>
    <row r="42" spans="1:15">
      <c r="A42" s="708" t="s">
        <v>1587</v>
      </c>
      <c r="B42" s="709">
        <f>B31+B32+B33</f>
        <v>96</v>
      </c>
      <c r="C42" s="708"/>
      <c r="D42" s="709">
        <f>D31+D32+D33</f>
        <v>24480</v>
      </c>
      <c r="E42" s="709">
        <f>E31+E32+E33</f>
        <v>2534.197471060852</v>
      </c>
      <c r="F42" s="709">
        <f>F31+F32+F33</f>
        <v>21945.802528939148</v>
      </c>
      <c r="G42" s="268"/>
      <c r="H42" s="268"/>
      <c r="I42" s="268"/>
      <c r="J42" s="268"/>
      <c r="K42" s="268"/>
      <c r="L42" s="268"/>
      <c r="M42" s="268"/>
      <c r="N42" s="268"/>
      <c r="O42" s="930"/>
    </row>
    <row r="43" spans="1:15">
      <c r="A43" s="708" t="s">
        <v>1588</v>
      </c>
      <c r="B43" s="709">
        <f>B34+B35+B36</f>
        <v>99</v>
      </c>
      <c r="C43" s="708"/>
      <c r="D43" s="709">
        <f>D34+D35+D36</f>
        <v>25245</v>
      </c>
      <c r="E43" s="709">
        <f>E34+E35+E36</f>
        <v>2613.3911420315035</v>
      </c>
      <c r="F43" s="709">
        <f>F34+F35+F36</f>
        <v>22631.608857968498</v>
      </c>
      <c r="G43" s="268"/>
      <c r="H43" s="268"/>
      <c r="I43" s="268"/>
      <c r="J43" s="268"/>
      <c r="K43" s="268"/>
      <c r="L43" s="268"/>
      <c r="M43" s="268"/>
      <c r="N43" s="268"/>
      <c r="O43" s="930"/>
    </row>
    <row r="44" spans="1:15">
      <c r="A44" s="708" t="s">
        <v>1338</v>
      </c>
      <c r="B44" s="709">
        <f>B37+B38+B39</f>
        <v>99</v>
      </c>
      <c r="C44" s="708"/>
      <c r="D44" s="709">
        <f>D37+D38+D39</f>
        <v>25245</v>
      </c>
      <c r="E44" s="709">
        <f>E37+E38+E39</f>
        <v>2613.3911420315035</v>
      </c>
      <c r="F44" s="709">
        <f>F37+F38+F39</f>
        <v>22631.608857968498</v>
      </c>
      <c r="G44" s="268"/>
      <c r="H44" s="268"/>
      <c r="I44" s="268"/>
      <c r="J44" s="268"/>
      <c r="K44" s="268"/>
      <c r="L44" s="268"/>
      <c r="M44" s="268"/>
      <c r="N44" s="268"/>
      <c r="O44" s="930"/>
    </row>
    <row r="45" spans="1:15">
      <c r="A45" s="708" t="s">
        <v>1424</v>
      </c>
      <c r="B45" s="709">
        <f>SUM(B41:B44)</f>
        <v>390</v>
      </c>
      <c r="C45" s="708"/>
      <c r="D45" s="709">
        <f>SUM(D41:D44)</f>
        <v>99450</v>
      </c>
      <c r="E45" s="709">
        <f>SUM(E41:E44)</f>
        <v>10295.177226184711</v>
      </c>
      <c r="F45" s="709">
        <f>SUM(F41:F44)</f>
        <v>89154.822773815293</v>
      </c>
      <c r="G45" s="935"/>
      <c r="H45" s="935"/>
      <c r="I45" s="935"/>
      <c r="J45" s="935"/>
      <c r="K45" s="935"/>
      <c r="L45" s="935"/>
      <c r="M45" s="935"/>
      <c r="N45" s="935"/>
      <c r="O45" s="936"/>
    </row>
    <row r="47" spans="1:15" ht="15.75">
      <c r="B47" s="305"/>
      <c r="C47" s="305"/>
      <c r="D47" s="305"/>
      <c r="E47" s="305"/>
      <c r="F47" s="305"/>
      <c r="G47" s="305"/>
    </row>
    <row r="48" spans="1:15">
      <c r="F48" s="84"/>
    </row>
  </sheetData>
  <mergeCells count="1">
    <mergeCell ref="N31:O32"/>
  </mergeCells>
  <phoneticPr fontId="55" type="noConversion"/>
  <pageMargins left="0.7" right="0.7" top="0.75" bottom="0.75" header="0.3" footer="0.3"/>
  <pageSetup paperSize="9" scale="2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5"/>
  <sheetViews>
    <sheetView view="pageBreakPreview" zoomScale="70" zoomScaleNormal="75" zoomScaleSheetLayoutView="70" workbookViewId="0">
      <selection activeCell="K8" sqref="K8"/>
    </sheetView>
  </sheetViews>
  <sheetFormatPr defaultColWidth="27.5703125" defaultRowHeight="12.75"/>
  <cols>
    <col min="1" max="1" width="8" style="72" bestFit="1" customWidth="1"/>
    <col min="2" max="2" width="44" style="69" customWidth="1"/>
    <col min="3" max="3" width="111.7109375" style="69" customWidth="1"/>
    <col min="4" max="5" width="42.7109375" style="69" customWidth="1"/>
    <col min="6" max="6" width="7.140625" style="69" bestFit="1" customWidth="1"/>
    <col min="7" max="9" width="20.5703125" style="69" hidden="1" customWidth="1"/>
    <col min="10" max="251" width="9.140625" style="69" customWidth="1"/>
    <col min="252" max="252" width="8" style="69" bestFit="1" customWidth="1"/>
    <col min="253" max="253" width="46.28515625" style="69" customWidth="1"/>
    <col min="254" max="254" width="126" style="69" customWidth="1"/>
    <col min="255" max="255" width="43.140625" style="69" customWidth="1"/>
    <col min="256" max="16384" width="27.5703125" style="69"/>
  </cols>
  <sheetData>
    <row r="2" spans="1:9" ht="48.75" customHeight="1">
      <c r="A2" s="68"/>
      <c r="B2" s="68"/>
      <c r="C2" s="68"/>
      <c r="D2" s="1017" t="s">
        <v>212</v>
      </c>
      <c r="E2" s="1018"/>
      <c r="F2" s="626"/>
    </row>
    <row r="3" spans="1:9" ht="18.75">
      <c r="A3" s="68"/>
      <c r="B3" s="68"/>
      <c r="C3" s="68"/>
      <c r="D3" s="271"/>
    </row>
    <row r="4" spans="1:9" ht="54" customHeight="1">
      <c r="A4" s="1019" t="s">
        <v>217</v>
      </c>
      <c r="B4" s="1020"/>
      <c r="C4" s="1020"/>
      <c r="D4" s="1020"/>
      <c r="E4" s="1021"/>
      <c r="F4" s="625"/>
    </row>
    <row r="5" spans="1:9" ht="18.75">
      <c r="A5" s="70"/>
      <c r="B5" s="479"/>
      <c r="C5" s="479"/>
      <c r="D5" s="479"/>
    </row>
    <row r="6" spans="1:9" s="68" customFormat="1" ht="24.75" customHeight="1">
      <c r="A6" s="1015" t="s">
        <v>1329</v>
      </c>
      <c r="B6" s="1015" t="s">
        <v>1330</v>
      </c>
      <c r="C6" s="1015" t="s">
        <v>1331</v>
      </c>
      <c r="D6" s="1015" t="s">
        <v>219</v>
      </c>
      <c r="E6" s="1015" t="s">
        <v>218</v>
      </c>
      <c r="F6" s="640"/>
    </row>
    <row r="7" spans="1:9" s="68" customFormat="1" ht="24.75" customHeight="1">
      <c r="A7" s="1015"/>
      <c r="B7" s="1015"/>
      <c r="C7" s="1015"/>
      <c r="D7" s="1015"/>
      <c r="E7" s="1015"/>
      <c r="F7" s="640"/>
    </row>
    <row r="8" spans="1:9" s="68" customFormat="1" ht="21.75">
      <c r="A8" s="1015"/>
      <c r="B8" s="1015"/>
      <c r="C8" s="1015"/>
      <c r="D8" s="624" t="s">
        <v>1340</v>
      </c>
      <c r="E8" s="624" t="s">
        <v>1340</v>
      </c>
      <c r="F8" s="640"/>
      <c r="H8" s="68" t="s">
        <v>110</v>
      </c>
    </row>
    <row r="9" spans="1:9" s="68" customFormat="1" ht="21.75" customHeight="1">
      <c r="A9" s="1015">
        <v>1</v>
      </c>
      <c r="B9" s="1016" t="s">
        <v>1683</v>
      </c>
      <c r="C9" s="623" t="s">
        <v>1332</v>
      </c>
      <c r="D9" s="75">
        <f>SUM(D10:D12)</f>
        <v>5296153.1524044964</v>
      </c>
      <c r="E9" s="75">
        <f>D9</f>
        <v>5296153.1524044964</v>
      </c>
      <c r="F9" s="641"/>
      <c r="G9" s="257">
        <f>E9-D9</f>
        <v>0</v>
      </c>
      <c r="H9" s="257">
        <f>SUM(H10:H12)</f>
        <v>5589338.5738958027</v>
      </c>
      <c r="I9" s="257">
        <f>SUM(I10:I12)</f>
        <v>-293185.42149130529</v>
      </c>
    </row>
    <row r="10" spans="1:9" s="68" customFormat="1" ht="22.5">
      <c r="A10" s="1015"/>
      <c r="B10" s="1016"/>
      <c r="C10" s="71" t="s">
        <v>1333</v>
      </c>
      <c r="D10" s="74">
        <f ca="1">Енергоносії...!F22</f>
        <v>2643708.3702206556</v>
      </c>
      <c r="E10" s="75">
        <f>D10</f>
        <v>2643708.3702206556</v>
      </c>
      <c r="F10" s="642"/>
      <c r="G10" s="257">
        <f t="shared" ref="G10:G24" si="0">E10-D10</f>
        <v>0</v>
      </c>
      <c r="H10" s="68">
        <v>2280779.6</v>
      </c>
      <c r="I10" s="618">
        <f>D10-H10</f>
        <v>362928.77022065548</v>
      </c>
    </row>
    <row r="11" spans="1:9" s="68" customFormat="1" ht="22.5">
      <c r="A11" s="1015"/>
      <c r="B11" s="1016"/>
      <c r="C11" s="71" t="s">
        <v>1334</v>
      </c>
      <c r="D11" s="74">
        <f ca="1">Енергоносії...!M22</f>
        <v>2563289.9594100257</v>
      </c>
      <c r="E11" s="75">
        <f>D11</f>
        <v>2563289.9594100257</v>
      </c>
      <c r="F11" s="642"/>
      <c r="G11" s="257">
        <f t="shared" si="0"/>
        <v>0</v>
      </c>
      <c r="H11" s="68">
        <v>3218333.9736415716</v>
      </c>
      <c r="I11" s="618">
        <f>D11-H11</f>
        <v>-655044.01423154585</v>
      </c>
    </row>
    <row r="12" spans="1:9" s="68" customFormat="1" ht="22.5">
      <c r="A12" s="1015"/>
      <c r="B12" s="1016"/>
      <c r="C12" s="71" t="s">
        <v>1335</v>
      </c>
      <c r="D12" s="74">
        <f ca="1">Енергоносії...!F45</f>
        <v>89154.822773815293</v>
      </c>
      <c r="E12" s="75">
        <f>D12</f>
        <v>89154.822773815293</v>
      </c>
      <c r="F12" s="642"/>
      <c r="G12" s="257">
        <f t="shared" si="0"/>
        <v>0</v>
      </c>
      <c r="H12" s="68">
        <v>90225.000254230195</v>
      </c>
      <c r="I12" s="618">
        <f>D12-H12</f>
        <v>-1070.1774804149027</v>
      </c>
    </row>
    <row r="13" spans="1:9" customFormat="1" ht="21.75" customHeight="1">
      <c r="A13" s="1015">
        <v>2</v>
      </c>
      <c r="B13" s="1016" t="s">
        <v>1336</v>
      </c>
      <c r="C13" s="80" t="s">
        <v>1337</v>
      </c>
      <c r="D13" s="82">
        <f>SUM(D14:D16)</f>
        <v>7700000</v>
      </c>
      <c r="E13" s="82">
        <f>SUM(E14:E16)</f>
        <v>0</v>
      </c>
      <c r="F13" s="643"/>
      <c r="G13" s="257">
        <f t="shared" si="0"/>
        <v>-7700000</v>
      </c>
    </row>
    <row r="14" spans="1:9" customFormat="1" ht="88.5" customHeight="1">
      <c r="A14" s="1015"/>
      <c r="B14" s="1016"/>
      <c r="C14" s="639" t="s">
        <v>298</v>
      </c>
      <c r="D14" s="74">
        <v>5000000</v>
      </c>
      <c r="E14" s="74"/>
      <c r="F14" s="642"/>
      <c r="G14" s="257">
        <f t="shared" si="0"/>
        <v>-5000000</v>
      </c>
    </row>
    <row r="15" spans="1:9" customFormat="1" ht="22.5">
      <c r="A15" s="1015"/>
      <c r="B15" s="1016"/>
      <c r="C15" s="81" t="s">
        <v>220</v>
      </c>
      <c r="D15" s="90">
        <v>2500000</v>
      </c>
      <c r="E15" s="90"/>
      <c r="F15" s="644"/>
      <c r="G15" s="257">
        <f t="shared" si="0"/>
        <v>-2500000</v>
      </c>
    </row>
    <row r="16" spans="1:9" customFormat="1" ht="22.5">
      <c r="A16" s="1015"/>
      <c r="B16" s="1016"/>
      <c r="C16" s="81" t="s">
        <v>1381</v>
      </c>
      <c r="D16" s="90">
        <v>200000</v>
      </c>
      <c r="E16" s="90"/>
      <c r="F16" s="644"/>
      <c r="G16" s="257">
        <f t="shared" si="0"/>
        <v>-200000</v>
      </c>
    </row>
    <row r="17" spans="1:9" customFormat="1" ht="21.75" hidden="1">
      <c r="A17" s="1015">
        <v>3</v>
      </c>
      <c r="B17" s="1016" t="s">
        <v>111</v>
      </c>
      <c r="C17" s="80" t="s">
        <v>112</v>
      </c>
      <c r="D17" s="82">
        <f>SUM(D18:D23)</f>
        <v>0</v>
      </c>
      <c r="E17" s="82">
        <f>SUM(E18:E23)</f>
        <v>0</v>
      </c>
      <c r="F17" s="643"/>
      <c r="G17" s="257">
        <f t="shared" si="0"/>
        <v>0</v>
      </c>
    </row>
    <row r="18" spans="1:9" ht="45" hidden="1">
      <c r="A18" s="1015"/>
      <c r="B18" s="1016"/>
      <c r="C18" s="639" t="s">
        <v>113</v>
      </c>
      <c r="D18" s="74"/>
      <c r="E18" s="74"/>
      <c r="F18" s="644"/>
      <c r="G18" s="257">
        <f t="shared" si="0"/>
        <v>0</v>
      </c>
      <c r="H18"/>
      <c r="I18"/>
    </row>
    <row r="19" spans="1:9" ht="22.5" hidden="1">
      <c r="A19" s="1015"/>
      <c r="B19" s="1016"/>
      <c r="C19" s="648" t="s">
        <v>116</v>
      </c>
      <c r="D19" s="74"/>
      <c r="E19" s="74"/>
      <c r="F19" s="644"/>
      <c r="G19" s="257"/>
      <c r="H19"/>
      <c r="I19"/>
    </row>
    <row r="20" spans="1:9" ht="45" hidden="1">
      <c r="A20" s="1015"/>
      <c r="B20" s="1016"/>
      <c r="C20" s="649" t="s">
        <v>121</v>
      </c>
      <c r="D20" s="74"/>
      <c r="E20" s="74"/>
      <c r="F20" s="644"/>
      <c r="G20" s="257"/>
      <c r="H20"/>
      <c r="I20"/>
    </row>
    <row r="21" spans="1:9" ht="22.5" hidden="1">
      <c r="A21" s="1015"/>
      <c r="B21" s="1016"/>
      <c r="C21" s="659"/>
      <c r="D21" s="650"/>
      <c r="E21" s="650"/>
      <c r="F21" s="644"/>
      <c r="G21" s="257"/>
      <c r="H21"/>
      <c r="I21"/>
    </row>
    <row r="22" spans="1:9" ht="22.5" hidden="1">
      <c r="A22" s="1015"/>
      <c r="B22" s="1016"/>
      <c r="C22" s="81" t="s">
        <v>114</v>
      </c>
      <c r="D22" s="90"/>
      <c r="E22" s="74"/>
      <c r="F22" s="644"/>
      <c r="G22" s="257">
        <f t="shared" si="0"/>
        <v>0</v>
      </c>
      <c r="H22"/>
      <c r="I22"/>
    </row>
    <row r="23" spans="1:9" ht="22.5" hidden="1">
      <c r="A23" s="1015"/>
      <c r="B23" s="1016"/>
      <c r="C23" s="81" t="s">
        <v>115</v>
      </c>
      <c r="D23" s="90"/>
      <c r="E23" s="74"/>
      <c r="F23" s="644"/>
      <c r="G23" s="257">
        <f t="shared" si="0"/>
        <v>0</v>
      </c>
      <c r="H23"/>
      <c r="I23"/>
    </row>
    <row r="24" spans="1:9" ht="22.5">
      <c r="A24" s="71"/>
      <c r="B24" s="623"/>
      <c r="C24" s="623" t="s">
        <v>1736</v>
      </c>
      <c r="D24" s="75">
        <f>D9+D13+D17</f>
        <v>12996153.152404496</v>
      </c>
      <c r="E24" s="75">
        <f>E9+E13+E17</f>
        <v>5296153.1524044964</v>
      </c>
      <c r="F24" s="645"/>
      <c r="G24" s="257">
        <f t="shared" si="0"/>
        <v>-7700000</v>
      </c>
      <c r="H24"/>
      <c r="I24"/>
    </row>
    <row r="25" spans="1:9">
      <c r="A25" s="619"/>
      <c r="B25" s="620"/>
      <c r="C25" s="620"/>
      <c r="D25" s="698"/>
      <c r="E25" s="698"/>
      <c r="F25" s="646"/>
    </row>
    <row r="26" spans="1:9" ht="21.75">
      <c r="A26" s="619"/>
      <c r="B26" s="620"/>
      <c r="C26" s="620"/>
      <c r="D26" s="698"/>
      <c r="E26" s="75">
        <f>D9+E13+E17</f>
        <v>5296153.1524044964</v>
      </c>
      <c r="F26" s="645"/>
    </row>
    <row r="29" spans="1:9">
      <c r="E29" s="622"/>
      <c r="F29" s="622"/>
    </row>
    <row r="31" spans="1:9">
      <c r="D31" s="621"/>
    </row>
    <row r="32" spans="1:9">
      <c r="E32" s="622"/>
    </row>
    <row r="33" spans="5:5">
      <c r="E33" s="622"/>
    </row>
    <row r="34" spans="5:5">
      <c r="E34" s="622"/>
    </row>
    <row r="35" spans="5:5">
      <c r="E35" s="622"/>
    </row>
  </sheetData>
  <mergeCells count="13">
    <mergeCell ref="A17:A23"/>
    <mergeCell ref="B17:B23"/>
    <mergeCell ref="A13:A16"/>
    <mergeCell ref="B13:B16"/>
    <mergeCell ref="A9:A12"/>
    <mergeCell ref="B9:B12"/>
    <mergeCell ref="D2:E2"/>
    <mergeCell ref="A6:A8"/>
    <mergeCell ref="B6:B8"/>
    <mergeCell ref="C6:C8"/>
    <mergeCell ref="D6:D7"/>
    <mergeCell ref="A4:E4"/>
    <mergeCell ref="E6:E7"/>
  </mergeCells>
  <phoneticPr fontId="55" type="noConversion"/>
  <hyperlinks>
    <hyperlink ref="C14" r:id="rId1" display="https://prozorro.gov.ua/tender/UA-2022-11-15-000178-a"/>
  </hyperlinks>
  <pageMargins left="0.39370078740157483" right="0.39370078740157483" top="0.78740157480314965" bottom="0.59055118110236227" header="0.31496062992125984" footer="0.51181102362204722"/>
  <pageSetup paperSize="9" scale="5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52"/>
  <sheetViews>
    <sheetView showGridLines="0" zoomScale="60" zoomScaleNormal="60" workbookViewId="0">
      <selection activeCell="M15" sqref="M15"/>
    </sheetView>
  </sheetViews>
  <sheetFormatPr defaultColWidth="10.7109375" defaultRowHeight="15.75"/>
  <cols>
    <col min="1" max="1" width="3.85546875" style="22" customWidth="1"/>
    <col min="2" max="2" width="117.42578125" style="21" bestFit="1" customWidth="1"/>
    <col min="3" max="3" width="40.140625" style="21" customWidth="1"/>
    <col min="4" max="4" width="28.140625" style="21" customWidth="1"/>
    <col min="5" max="5" width="26.42578125" style="21" customWidth="1"/>
    <col min="6" max="6" width="40.140625" style="21" customWidth="1"/>
    <col min="7" max="11" width="10.7109375" style="21"/>
    <col min="12" max="12" width="12.28515625" style="21" bestFit="1" customWidth="1"/>
    <col min="13" max="16384" width="10.7109375" style="21"/>
  </cols>
  <sheetData>
    <row r="1" spans="1:256" s="15" customFormat="1" ht="16.5">
      <c r="A1" s="32"/>
      <c r="K1" s="16"/>
      <c r="P1" s="16"/>
      <c r="U1" s="16"/>
      <c r="Z1" s="16"/>
      <c r="AE1" s="16"/>
      <c r="AJ1" s="16"/>
      <c r="AO1" s="16"/>
    </row>
    <row r="2" spans="1:256" s="18" customFormat="1" ht="27.75" thickBo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  <c r="AD2" s="1022"/>
      <c r="AE2" s="1022"/>
      <c r="AF2" s="1022"/>
      <c r="AG2" s="17"/>
      <c r="AH2" s="17"/>
      <c r="AI2" s="17"/>
      <c r="AJ2" s="17"/>
      <c r="AK2" s="17"/>
      <c r="AL2" s="17"/>
      <c r="AM2" s="17"/>
      <c r="AN2" s="17"/>
      <c r="AO2" s="17"/>
    </row>
    <row r="3" spans="1:256" s="19" customFormat="1" ht="67.5" customHeight="1" thickTop="1" thickBot="1">
      <c r="A3" s="20"/>
      <c r="B3" s="1023" t="s">
        <v>1834</v>
      </c>
      <c r="C3" s="1024"/>
      <c r="D3" s="1024"/>
      <c r="E3" s="1025"/>
    </row>
    <row r="4" spans="1:256" s="48" customFormat="1" ht="21" customHeight="1" thickTop="1">
      <c r="A4" s="47"/>
      <c r="B4" s="49"/>
      <c r="C4" s="49"/>
      <c r="D4" s="49"/>
      <c r="E4" s="49"/>
    </row>
    <row r="5" spans="1:256" ht="16.5">
      <c r="B5" s="6"/>
      <c r="C5" s="6"/>
      <c r="D5" s="6"/>
      <c r="E5" s="31"/>
      <c r="F5" s="31"/>
      <c r="G5" s="31"/>
      <c r="H5" s="31"/>
    </row>
    <row r="6" spans="1:256" ht="100.15" customHeight="1">
      <c r="B6" s="96" t="s">
        <v>1608</v>
      </c>
      <c r="C6" s="96" t="s">
        <v>1609</v>
      </c>
      <c r="D6" s="96" t="s">
        <v>1610</v>
      </c>
      <c r="E6" s="96" t="s">
        <v>1611</v>
      </c>
      <c r="F6" s="96" t="s">
        <v>1633</v>
      </c>
    </row>
    <row r="7" spans="1:256" s="33" customFormat="1">
      <c r="B7" s="97">
        <v>0</v>
      </c>
      <c r="C7" s="97">
        <v>0.1</v>
      </c>
      <c r="D7" s="97">
        <v>0.2</v>
      </c>
      <c r="E7" s="97">
        <v>0.3</v>
      </c>
      <c r="F7" s="98"/>
      <c r="G7" s="21"/>
      <c r="H7" s="21"/>
      <c r="I7" s="21"/>
      <c r="J7" s="21"/>
      <c r="K7" s="21"/>
      <c r="L7" s="21"/>
      <c r="M7" s="21"/>
      <c r="N7" s="21"/>
      <c r="O7" s="21"/>
      <c r="P7" s="21"/>
      <c r="R7" s="21"/>
      <c r="S7" s="21"/>
      <c r="T7" s="21"/>
      <c r="U7" s="21"/>
      <c r="W7" s="21"/>
      <c r="X7" s="21"/>
      <c r="Y7" s="21"/>
      <c r="Z7" s="21"/>
      <c r="AB7" s="21"/>
      <c r="AC7" s="21"/>
      <c r="AD7" s="21"/>
      <c r="AE7" s="21"/>
      <c r="AG7" s="21"/>
      <c r="AH7" s="21"/>
      <c r="AI7" s="21"/>
      <c r="AJ7" s="21"/>
      <c r="AL7" s="21"/>
      <c r="AM7" s="21"/>
      <c r="AN7" s="21"/>
      <c r="AO7" s="21"/>
      <c r="AQ7" s="21"/>
      <c r="AR7" s="21"/>
      <c r="AS7" s="21"/>
      <c r="AT7" s="21"/>
      <c r="AV7" s="21"/>
      <c r="AW7" s="21"/>
      <c r="AX7" s="21"/>
      <c r="AY7" s="21"/>
      <c r="BA7" s="21"/>
      <c r="BB7" s="21"/>
      <c r="BC7" s="21"/>
      <c r="BD7" s="21"/>
      <c r="BF7" s="21"/>
      <c r="BG7" s="21"/>
      <c r="BH7" s="21"/>
      <c r="BI7" s="21"/>
      <c r="BK7" s="21"/>
      <c r="BL7" s="21"/>
      <c r="BM7" s="21"/>
      <c r="BN7" s="21"/>
      <c r="BP7" s="21"/>
      <c r="BQ7" s="21"/>
      <c r="BR7" s="21"/>
      <c r="BS7" s="21"/>
      <c r="BU7" s="21"/>
      <c r="BV7" s="21"/>
      <c r="BW7" s="21"/>
      <c r="BX7" s="21"/>
      <c r="BZ7" s="21"/>
      <c r="CA7" s="21"/>
      <c r="CB7" s="21"/>
      <c r="CC7" s="21"/>
      <c r="CE7" s="21"/>
      <c r="CF7" s="21"/>
      <c r="CG7" s="21"/>
      <c r="CH7" s="21"/>
      <c r="CJ7" s="21"/>
      <c r="CK7" s="21"/>
      <c r="CL7" s="21"/>
      <c r="CM7" s="21"/>
      <c r="CO7" s="21"/>
      <c r="CP7" s="21"/>
      <c r="CQ7" s="21"/>
      <c r="CR7" s="21"/>
      <c r="CT7" s="21"/>
      <c r="CU7" s="21"/>
      <c r="CV7" s="21"/>
      <c r="CW7" s="21"/>
      <c r="CY7" s="21"/>
      <c r="CZ7" s="21"/>
      <c r="DA7" s="21"/>
      <c r="DB7" s="21"/>
      <c r="DD7" s="21"/>
      <c r="DE7" s="21"/>
      <c r="DF7" s="21"/>
      <c r="DG7" s="21"/>
      <c r="DI7" s="21"/>
      <c r="DJ7" s="21"/>
      <c r="DK7" s="21"/>
      <c r="DL7" s="21"/>
      <c r="DN7" s="21"/>
      <c r="DO7" s="21"/>
      <c r="DP7" s="21"/>
      <c r="DQ7" s="21"/>
      <c r="DS7" s="21"/>
      <c r="DT7" s="21"/>
      <c r="DU7" s="21"/>
      <c r="DV7" s="21"/>
      <c r="DX7" s="21"/>
      <c r="DY7" s="21"/>
      <c r="DZ7" s="21"/>
      <c r="EA7" s="21"/>
      <c r="EC7" s="21"/>
      <c r="ED7" s="21"/>
      <c r="EE7" s="21"/>
      <c r="EF7" s="21"/>
      <c r="EH7" s="21"/>
      <c r="EI7" s="21"/>
      <c r="EJ7" s="21"/>
      <c r="EK7" s="21"/>
      <c r="EM7" s="21"/>
      <c r="EN7" s="21"/>
      <c r="EO7" s="21"/>
      <c r="EP7" s="21"/>
      <c r="ER7" s="21"/>
      <c r="ES7" s="21"/>
      <c r="ET7" s="21"/>
      <c r="EU7" s="21"/>
      <c r="EW7" s="21"/>
      <c r="EX7" s="21"/>
      <c r="EY7" s="21"/>
      <c r="EZ7" s="21"/>
      <c r="FB7" s="21"/>
      <c r="FC7" s="21"/>
      <c r="FD7" s="21"/>
      <c r="FE7" s="21"/>
      <c r="FG7" s="21"/>
      <c r="FH7" s="21"/>
      <c r="FI7" s="21"/>
      <c r="FJ7" s="21"/>
      <c r="FL7" s="21"/>
      <c r="FM7" s="21"/>
      <c r="FN7" s="21"/>
      <c r="FO7" s="21"/>
      <c r="FQ7" s="21"/>
      <c r="FR7" s="21"/>
      <c r="FS7" s="21"/>
      <c r="FT7" s="21"/>
      <c r="FV7" s="21"/>
      <c r="FW7" s="21"/>
      <c r="FX7" s="21"/>
      <c r="FY7" s="21"/>
      <c r="GA7" s="21"/>
      <c r="GB7" s="21"/>
      <c r="GC7" s="21"/>
      <c r="GD7" s="21"/>
      <c r="GF7" s="21"/>
      <c r="GG7" s="21"/>
      <c r="GH7" s="21"/>
      <c r="GI7" s="21"/>
      <c r="GK7" s="21"/>
      <c r="GL7" s="21"/>
      <c r="GM7" s="21"/>
      <c r="GN7" s="21"/>
      <c r="GP7" s="21"/>
      <c r="GQ7" s="21"/>
      <c r="GR7" s="21"/>
      <c r="GS7" s="21"/>
      <c r="GU7" s="21"/>
      <c r="GV7" s="21"/>
      <c r="GW7" s="21"/>
      <c r="GX7" s="21"/>
      <c r="GZ7" s="21"/>
      <c r="HA7" s="21"/>
      <c r="HB7" s="21"/>
      <c r="HC7" s="21"/>
      <c r="HE7" s="21"/>
      <c r="HF7" s="21"/>
      <c r="HG7" s="21"/>
      <c r="HH7" s="21"/>
      <c r="HJ7" s="21"/>
      <c r="HK7" s="21"/>
      <c r="HL7" s="21"/>
      <c r="HM7" s="21"/>
      <c r="HO7" s="21"/>
      <c r="HP7" s="21"/>
      <c r="HQ7" s="21"/>
      <c r="HR7" s="21"/>
      <c r="HT7" s="21"/>
      <c r="HU7" s="21"/>
      <c r="HV7" s="21"/>
      <c r="HW7" s="21"/>
      <c r="HY7" s="21"/>
      <c r="HZ7" s="21"/>
      <c r="IA7" s="21"/>
      <c r="IB7" s="21"/>
      <c r="ID7" s="21"/>
      <c r="IE7" s="21"/>
      <c r="IF7" s="21"/>
      <c r="IG7" s="21"/>
      <c r="II7" s="21"/>
      <c r="IJ7" s="21"/>
      <c r="IK7" s="21"/>
      <c r="IL7" s="21"/>
      <c r="IN7" s="21"/>
      <c r="IO7" s="21"/>
      <c r="IP7" s="21"/>
      <c r="IQ7" s="21"/>
      <c r="IS7" s="21"/>
      <c r="IT7" s="21"/>
      <c r="IU7" s="21"/>
      <c r="IV7" s="21"/>
    </row>
    <row r="8" spans="1:256" s="31" customFormat="1">
      <c r="A8" s="22"/>
      <c r="B8" s="99" t="s">
        <v>1612</v>
      </c>
      <c r="C8" s="100"/>
      <c r="D8" s="101"/>
      <c r="E8" s="102">
        <f>SUM($E$9:$E$91)</f>
        <v>0</v>
      </c>
      <c r="F8" s="103"/>
      <c r="G8" s="21"/>
      <c r="H8" s="21"/>
      <c r="I8" s="21"/>
      <c r="J8" s="21"/>
      <c r="K8" s="21"/>
      <c r="L8" s="21"/>
      <c r="M8" s="21"/>
      <c r="N8" s="21"/>
      <c r="O8" s="21"/>
      <c r="P8" s="21"/>
      <c r="R8" s="21"/>
      <c r="S8" s="21"/>
      <c r="T8" s="21"/>
      <c r="U8" s="21"/>
      <c r="W8" s="21"/>
      <c r="X8" s="21"/>
      <c r="Y8" s="21"/>
      <c r="Z8" s="21"/>
      <c r="AB8" s="21"/>
      <c r="AC8" s="21"/>
      <c r="AD8" s="21"/>
      <c r="AE8" s="21"/>
      <c r="AG8" s="21"/>
      <c r="AH8" s="21"/>
      <c r="AI8" s="21"/>
      <c r="AJ8" s="21"/>
      <c r="AL8" s="21"/>
      <c r="AM8" s="21"/>
      <c r="AN8" s="21"/>
      <c r="AO8" s="21"/>
      <c r="AQ8" s="21"/>
      <c r="AR8" s="21"/>
      <c r="AS8" s="21"/>
      <c r="AT8" s="21"/>
      <c r="AV8" s="21"/>
      <c r="AW8" s="21"/>
      <c r="AX8" s="21"/>
      <c r="AY8" s="21"/>
      <c r="BA8" s="21"/>
      <c r="BB8" s="21"/>
      <c r="BC8" s="21"/>
      <c r="BD8" s="21"/>
      <c r="BF8" s="21"/>
      <c r="BG8" s="21"/>
      <c r="BH8" s="21"/>
      <c r="BI8" s="21"/>
      <c r="BK8" s="21"/>
      <c r="BL8" s="21"/>
      <c r="BM8" s="21"/>
      <c r="BN8" s="21"/>
      <c r="BP8" s="21"/>
      <c r="BQ8" s="21"/>
      <c r="BR8" s="21"/>
      <c r="BS8" s="21"/>
      <c r="BU8" s="21"/>
      <c r="BV8" s="21"/>
      <c r="BW8" s="21"/>
      <c r="BX8" s="21"/>
      <c r="BZ8" s="21"/>
      <c r="CA8" s="21"/>
      <c r="CB8" s="21"/>
      <c r="CC8" s="21"/>
      <c r="CE8" s="21"/>
      <c r="CF8" s="21"/>
      <c r="CG8" s="21"/>
      <c r="CH8" s="21"/>
      <c r="CJ8" s="21"/>
      <c r="CK8" s="21"/>
      <c r="CL8" s="21"/>
      <c r="CM8" s="21"/>
      <c r="CO8" s="21"/>
      <c r="CP8" s="21"/>
      <c r="CQ8" s="21"/>
      <c r="CR8" s="21"/>
      <c r="CT8" s="21"/>
      <c r="CU8" s="21"/>
      <c r="CV8" s="21"/>
      <c r="CW8" s="21"/>
      <c r="CY8" s="21"/>
      <c r="CZ8" s="21"/>
      <c r="DA8" s="21"/>
      <c r="DB8" s="21"/>
      <c r="DD8" s="21"/>
      <c r="DE8" s="21"/>
      <c r="DF8" s="21"/>
      <c r="DG8" s="21"/>
      <c r="DI8" s="21"/>
      <c r="DJ8" s="21"/>
      <c r="DK8" s="21"/>
      <c r="DL8" s="21"/>
      <c r="DN8" s="21"/>
      <c r="DO8" s="21"/>
      <c r="DP8" s="21"/>
      <c r="DQ8" s="21"/>
      <c r="DS8" s="21"/>
      <c r="DT8" s="21"/>
      <c r="DU8" s="21"/>
      <c r="DV8" s="21"/>
      <c r="DX8" s="21"/>
      <c r="DY8" s="21"/>
      <c r="DZ8" s="21"/>
      <c r="EA8" s="21"/>
      <c r="EC8" s="21"/>
      <c r="ED8" s="21"/>
      <c r="EE8" s="21"/>
      <c r="EF8" s="21"/>
      <c r="EH8" s="21"/>
      <c r="EI8" s="21"/>
      <c r="EJ8" s="21"/>
      <c r="EK8" s="21"/>
      <c r="EM8" s="21"/>
      <c r="EN8" s="21"/>
      <c r="EO8" s="21"/>
      <c r="EP8" s="21"/>
      <c r="ER8" s="21"/>
      <c r="ES8" s="21"/>
      <c r="ET8" s="21"/>
      <c r="EU8" s="21"/>
      <c r="EW8" s="21"/>
      <c r="EX8" s="21"/>
      <c r="EY8" s="21"/>
      <c r="EZ8" s="21"/>
      <c r="FB8" s="21"/>
      <c r="FC8" s="21"/>
      <c r="FD8" s="21"/>
      <c r="FE8" s="21"/>
      <c r="FG8" s="21"/>
      <c r="FH8" s="21"/>
      <c r="FI8" s="21"/>
      <c r="FJ8" s="21"/>
      <c r="FL8" s="21"/>
      <c r="FM8" s="21"/>
      <c r="FN8" s="21"/>
      <c r="FO8" s="21"/>
      <c r="FQ8" s="21"/>
      <c r="FR8" s="21"/>
      <c r="FS8" s="21"/>
      <c r="FT8" s="21"/>
      <c r="FV8" s="21"/>
      <c r="FW8" s="21"/>
      <c r="FX8" s="21"/>
      <c r="FY8" s="21"/>
      <c r="GA8" s="21"/>
      <c r="GB8" s="21"/>
      <c r="GC8" s="21"/>
      <c r="GD8" s="21"/>
      <c r="GF8" s="21"/>
      <c r="GG8" s="21"/>
      <c r="GH8" s="21"/>
      <c r="GI8" s="21"/>
      <c r="GK8" s="21"/>
      <c r="GL8" s="21"/>
      <c r="GM8" s="21"/>
      <c r="GN8" s="21"/>
      <c r="GP8" s="21"/>
      <c r="GQ8" s="21"/>
      <c r="GR8" s="21"/>
      <c r="GS8" s="21"/>
      <c r="GU8" s="21"/>
      <c r="GV8" s="21"/>
      <c r="GW8" s="21"/>
      <c r="GX8" s="21"/>
      <c r="GZ8" s="21"/>
      <c r="HA8" s="21"/>
      <c r="HB8" s="21"/>
      <c r="HC8" s="21"/>
      <c r="HE8" s="21"/>
      <c r="HF8" s="21"/>
      <c r="HG8" s="21"/>
      <c r="HH8" s="21"/>
      <c r="HJ8" s="21"/>
      <c r="HK8" s="21"/>
      <c r="HL8" s="21"/>
      <c r="HM8" s="21"/>
      <c r="HO8" s="21"/>
      <c r="HP8" s="21"/>
      <c r="HQ8" s="21"/>
      <c r="HR8" s="21"/>
      <c r="HT8" s="21"/>
      <c r="HU8" s="21"/>
      <c r="HV8" s="21"/>
      <c r="HW8" s="21"/>
      <c r="HY8" s="21"/>
      <c r="HZ8" s="21"/>
      <c r="IA8" s="21"/>
      <c r="IB8" s="21"/>
      <c r="ID8" s="21"/>
      <c r="IE8" s="21"/>
      <c r="IF8" s="21"/>
      <c r="IG8" s="21"/>
      <c r="II8" s="21"/>
      <c r="IJ8" s="21"/>
      <c r="IK8" s="21"/>
      <c r="IL8" s="21"/>
      <c r="IN8" s="21"/>
      <c r="IO8" s="21"/>
      <c r="IP8" s="21"/>
      <c r="IQ8" s="21"/>
      <c r="IS8" s="21"/>
      <c r="IT8" s="21"/>
      <c r="IU8" s="21"/>
      <c r="IV8" s="21"/>
    </row>
    <row r="9" spans="1:256">
      <c r="A9" s="8">
        <v>1</v>
      </c>
      <c r="B9" s="104" t="s">
        <v>1634</v>
      </c>
      <c r="C9" s="105"/>
      <c r="D9" s="106"/>
      <c r="E9" s="107">
        <f>IFERROR(C9*D9,)</f>
        <v>0</v>
      </c>
      <c r="F9" s="108"/>
    </row>
    <row r="10" spans="1:256">
      <c r="A10" s="8">
        <v>2</v>
      </c>
      <c r="B10" s="104" t="s">
        <v>1635</v>
      </c>
      <c r="C10" s="105"/>
      <c r="D10" s="106"/>
      <c r="E10" s="107">
        <f t="shared" ref="E10:E24" si="0">IFERROR(C10*D10,)</f>
        <v>0</v>
      </c>
      <c r="F10" s="108"/>
    </row>
    <row r="11" spans="1:256">
      <c r="A11" s="8">
        <v>3</v>
      </c>
      <c r="B11" s="104" t="s">
        <v>1636</v>
      </c>
      <c r="C11" s="105"/>
      <c r="D11" s="106"/>
      <c r="E11" s="107">
        <f t="shared" si="0"/>
        <v>0</v>
      </c>
      <c r="F11" s="108"/>
    </row>
    <row r="12" spans="1:256">
      <c r="A12" s="8">
        <v>4</v>
      </c>
      <c r="B12" s="104" t="s">
        <v>1637</v>
      </c>
      <c r="C12" s="105"/>
      <c r="D12" s="106"/>
      <c r="E12" s="107">
        <f t="shared" si="0"/>
        <v>0</v>
      </c>
      <c r="F12" s="108"/>
    </row>
    <row r="13" spans="1:256">
      <c r="A13" s="8">
        <v>5</v>
      </c>
      <c r="B13" s="104" t="s">
        <v>1638</v>
      </c>
      <c r="C13" s="105"/>
      <c r="D13" s="106"/>
      <c r="E13" s="107">
        <f t="shared" si="0"/>
        <v>0</v>
      </c>
      <c r="F13" s="108"/>
    </row>
    <row r="14" spans="1:256">
      <c r="A14" s="8">
        <v>6</v>
      </c>
      <c r="B14" s="104" t="s">
        <v>1639</v>
      </c>
      <c r="C14" s="105"/>
      <c r="D14" s="106"/>
      <c r="E14" s="107">
        <f t="shared" si="0"/>
        <v>0</v>
      </c>
      <c r="F14" s="108"/>
    </row>
    <row r="15" spans="1:256">
      <c r="A15" s="8">
        <v>7</v>
      </c>
      <c r="B15" s="104" t="s">
        <v>1640</v>
      </c>
      <c r="C15" s="105"/>
      <c r="D15" s="106"/>
      <c r="E15" s="107">
        <f t="shared" si="0"/>
        <v>0</v>
      </c>
      <c r="F15" s="108"/>
    </row>
    <row r="16" spans="1:256">
      <c r="A16" s="8">
        <v>8</v>
      </c>
      <c r="B16" s="104" t="s">
        <v>1641</v>
      </c>
      <c r="C16" s="105"/>
      <c r="D16" s="106"/>
      <c r="E16" s="107">
        <f t="shared" si="0"/>
        <v>0</v>
      </c>
      <c r="F16" s="108"/>
    </row>
    <row r="17" spans="1:6">
      <c r="A17" s="8">
        <v>9</v>
      </c>
      <c r="B17" s="104" t="s">
        <v>1642</v>
      </c>
      <c r="C17" s="105"/>
      <c r="D17" s="106"/>
      <c r="E17" s="107">
        <f t="shared" si="0"/>
        <v>0</v>
      </c>
      <c r="F17" s="108"/>
    </row>
    <row r="18" spans="1:6">
      <c r="A18" s="8">
        <v>10</v>
      </c>
      <c r="B18" s="104" t="s">
        <v>1643</v>
      </c>
      <c r="C18" s="105"/>
      <c r="D18" s="106"/>
      <c r="E18" s="107">
        <f t="shared" si="0"/>
        <v>0</v>
      </c>
      <c r="F18" s="108"/>
    </row>
    <row r="19" spans="1:6">
      <c r="A19" s="8">
        <v>11</v>
      </c>
      <c r="B19" s="104" t="s">
        <v>1644</v>
      </c>
      <c r="C19" s="105"/>
      <c r="D19" s="106"/>
      <c r="E19" s="107">
        <f t="shared" si="0"/>
        <v>0</v>
      </c>
      <c r="F19" s="108"/>
    </row>
    <row r="20" spans="1:6">
      <c r="A20" s="8">
        <v>12</v>
      </c>
      <c r="B20" s="104" t="s">
        <v>1645</v>
      </c>
      <c r="C20" s="105"/>
      <c r="D20" s="106"/>
      <c r="E20" s="107">
        <f t="shared" si="0"/>
        <v>0</v>
      </c>
      <c r="F20" s="108"/>
    </row>
    <row r="21" spans="1:6" ht="21" customHeight="1">
      <c r="A21" s="8">
        <v>13</v>
      </c>
      <c r="B21" s="104" t="s">
        <v>1646</v>
      </c>
      <c r="C21" s="105"/>
      <c r="D21" s="106"/>
      <c r="E21" s="107">
        <f t="shared" si="0"/>
        <v>0</v>
      </c>
      <c r="F21" s="108"/>
    </row>
    <row r="22" spans="1:6">
      <c r="A22" s="8">
        <v>14</v>
      </c>
      <c r="B22" s="104" t="s">
        <v>1647</v>
      </c>
      <c r="C22" s="105"/>
      <c r="D22" s="106"/>
      <c r="E22" s="107">
        <f t="shared" si="0"/>
        <v>0</v>
      </c>
      <c r="F22" s="108"/>
    </row>
    <row r="23" spans="1:6" ht="39" customHeight="1">
      <c r="A23" s="8">
        <v>15</v>
      </c>
      <c r="B23" s="104" t="s">
        <v>1648</v>
      </c>
      <c r="C23" s="105"/>
      <c r="D23" s="106"/>
      <c r="E23" s="107">
        <f t="shared" si="0"/>
        <v>0</v>
      </c>
      <c r="F23" s="108"/>
    </row>
    <row r="24" spans="1:6">
      <c r="A24" s="8">
        <v>16</v>
      </c>
      <c r="B24" s="104" t="s">
        <v>1649</v>
      </c>
      <c r="C24" s="105"/>
      <c r="D24" s="106"/>
      <c r="E24" s="107">
        <f t="shared" si="0"/>
        <v>0</v>
      </c>
      <c r="F24" s="108"/>
    </row>
    <row r="25" spans="1:6" ht="31.5">
      <c r="A25" s="8"/>
      <c r="B25" s="104" t="s">
        <v>1462</v>
      </c>
      <c r="C25" s="105"/>
      <c r="D25" s="106"/>
      <c r="E25" s="107">
        <f>IFERROR(C25*D25,)</f>
        <v>0</v>
      </c>
      <c r="F25" s="108"/>
    </row>
    <row r="26" spans="1:6" ht="47.25">
      <c r="A26" s="8">
        <v>19</v>
      </c>
      <c r="B26" s="104" t="s">
        <v>1463</v>
      </c>
      <c r="C26" s="109"/>
      <c r="D26" s="109"/>
      <c r="E26" s="110"/>
      <c r="F26" s="111"/>
    </row>
    <row r="27" spans="1:6">
      <c r="A27" s="8">
        <v>19.100000000000001</v>
      </c>
      <c r="B27" s="112" t="s">
        <v>1650</v>
      </c>
      <c r="C27" s="105"/>
      <c r="D27" s="106"/>
      <c r="E27" s="107">
        <f t="shared" ref="E27:E36" si="1">IFERROR(C27*D27,)</f>
        <v>0</v>
      </c>
      <c r="F27" s="108"/>
    </row>
    <row r="28" spans="1:6">
      <c r="A28" s="8">
        <v>19.2</v>
      </c>
      <c r="B28" s="112" t="s">
        <v>1651</v>
      </c>
      <c r="C28" s="105"/>
      <c r="D28" s="106"/>
      <c r="E28" s="107">
        <f t="shared" si="1"/>
        <v>0</v>
      </c>
      <c r="F28" s="108"/>
    </row>
    <row r="29" spans="1:6">
      <c r="A29" s="8">
        <v>19.3</v>
      </c>
      <c r="B29" s="112" t="s">
        <v>1652</v>
      </c>
      <c r="C29" s="105"/>
      <c r="D29" s="106"/>
      <c r="E29" s="107">
        <f t="shared" si="1"/>
        <v>0</v>
      </c>
      <c r="F29" s="108"/>
    </row>
    <row r="30" spans="1:6">
      <c r="A30" s="8">
        <v>19.399999999999999</v>
      </c>
      <c r="B30" s="112" t="s">
        <v>1653</v>
      </c>
      <c r="C30" s="105"/>
      <c r="D30" s="106"/>
      <c r="E30" s="107">
        <f t="shared" si="1"/>
        <v>0</v>
      </c>
      <c r="F30" s="108"/>
    </row>
    <row r="31" spans="1:6">
      <c r="A31" s="8">
        <v>19.5</v>
      </c>
      <c r="B31" s="112" t="s">
        <v>1654</v>
      </c>
      <c r="C31" s="105"/>
      <c r="D31" s="106"/>
      <c r="E31" s="107">
        <f t="shared" si="1"/>
        <v>0</v>
      </c>
      <c r="F31" s="108"/>
    </row>
    <row r="32" spans="1:6">
      <c r="A32" s="8">
        <v>19.600000000000001</v>
      </c>
      <c r="B32" s="112" t="s">
        <v>1655</v>
      </c>
      <c r="C32" s="105"/>
      <c r="D32" s="106"/>
      <c r="E32" s="107">
        <f t="shared" si="1"/>
        <v>0</v>
      </c>
      <c r="F32" s="108"/>
    </row>
    <row r="33" spans="1:6">
      <c r="A33" s="8"/>
      <c r="B33" s="112" t="s">
        <v>1464</v>
      </c>
      <c r="C33" s="105"/>
      <c r="D33" s="106"/>
      <c r="E33" s="107">
        <f t="shared" si="1"/>
        <v>0</v>
      </c>
      <c r="F33" s="108"/>
    </row>
    <row r="34" spans="1:6">
      <c r="A34" s="8">
        <v>19.7</v>
      </c>
      <c r="B34" s="112" t="s">
        <v>1656</v>
      </c>
      <c r="C34" s="105"/>
      <c r="D34" s="106"/>
      <c r="E34" s="107">
        <f t="shared" si="1"/>
        <v>0</v>
      </c>
      <c r="F34" s="108"/>
    </row>
    <row r="35" spans="1:6">
      <c r="A35" s="8">
        <v>19.8</v>
      </c>
      <c r="B35" s="112" t="s">
        <v>1657</v>
      </c>
      <c r="C35" s="105"/>
      <c r="D35" s="106"/>
      <c r="E35" s="107">
        <f t="shared" si="1"/>
        <v>0</v>
      </c>
      <c r="F35" s="108"/>
    </row>
    <row r="36" spans="1:6">
      <c r="A36" s="8">
        <v>19.899999999999999</v>
      </c>
      <c r="B36" s="112" t="s">
        <v>1658</v>
      </c>
      <c r="C36" s="105"/>
      <c r="D36" s="106"/>
      <c r="E36" s="107">
        <f t="shared" si="1"/>
        <v>0</v>
      </c>
      <c r="F36" s="108"/>
    </row>
    <row r="37" spans="1:6">
      <c r="A37" s="8"/>
      <c r="B37" s="104" t="s">
        <v>1465</v>
      </c>
      <c r="C37" s="113"/>
      <c r="D37" s="114"/>
      <c r="E37" s="115"/>
      <c r="F37" s="111"/>
    </row>
    <row r="38" spans="1:6">
      <c r="A38" s="8"/>
      <c r="B38" s="112" t="s">
        <v>1468</v>
      </c>
      <c r="C38" s="105"/>
      <c r="D38" s="106"/>
      <c r="E38" s="107">
        <f t="shared" ref="E38:E68" si="2">IFERROR(C38*D38,)</f>
        <v>0</v>
      </c>
      <c r="F38" s="108"/>
    </row>
    <row r="39" spans="1:6">
      <c r="A39" s="8"/>
      <c r="B39" s="112" t="s">
        <v>1469</v>
      </c>
      <c r="C39" s="105"/>
      <c r="D39" s="106"/>
      <c r="E39" s="107">
        <f t="shared" si="2"/>
        <v>0</v>
      </c>
      <c r="F39" s="108"/>
    </row>
    <row r="40" spans="1:6">
      <c r="A40" s="8"/>
      <c r="B40" s="112" t="s">
        <v>1470</v>
      </c>
      <c r="C40" s="105"/>
      <c r="D40" s="106"/>
      <c r="E40" s="107">
        <f t="shared" si="2"/>
        <v>0</v>
      </c>
      <c r="F40" s="108"/>
    </row>
    <row r="41" spans="1:6">
      <c r="A41" s="8"/>
      <c r="B41" s="112" t="s">
        <v>1471</v>
      </c>
      <c r="C41" s="105"/>
      <c r="D41" s="106"/>
      <c r="E41" s="107">
        <f t="shared" si="2"/>
        <v>0</v>
      </c>
      <c r="F41" s="108"/>
    </row>
    <row r="42" spans="1:6">
      <c r="A42" s="8"/>
      <c r="B42" s="112" t="s">
        <v>1472</v>
      </c>
      <c r="C42" s="105"/>
      <c r="D42" s="106"/>
      <c r="E42" s="107">
        <f t="shared" si="2"/>
        <v>0</v>
      </c>
      <c r="F42" s="108"/>
    </row>
    <row r="43" spans="1:6">
      <c r="A43" s="8"/>
      <c r="B43" s="112" t="s">
        <v>1473</v>
      </c>
      <c r="C43" s="105"/>
      <c r="D43" s="106"/>
      <c r="E43" s="107">
        <f t="shared" si="2"/>
        <v>0</v>
      </c>
      <c r="F43" s="108"/>
    </row>
    <row r="44" spans="1:6">
      <c r="A44" s="8"/>
      <c r="B44" s="112" t="s">
        <v>1474</v>
      </c>
      <c r="C44" s="105"/>
      <c r="D44" s="106"/>
      <c r="E44" s="107">
        <f t="shared" si="2"/>
        <v>0</v>
      </c>
      <c r="F44" s="108"/>
    </row>
    <row r="45" spans="1:6">
      <c r="A45" s="8"/>
      <c r="B45" s="112" t="s">
        <v>1475</v>
      </c>
      <c r="C45" s="105"/>
      <c r="D45" s="106"/>
      <c r="E45" s="107">
        <f t="shared" si="2"/>
        <v>0</v>
      </c>
      <c r="F45" s="108"/>
    </row>
    <row r="46" spans="1:6">
      <c r="A46" s="8"/>
      <c r="B46" s="112" t="s">
        <v>1476</v>
      </c>
      <c r="C46" s="105"/>
      <c r="D46" s="106"/>
      <c r="E46" s="107">
        <f t="shared" si="2"/>
        <v>0</v>
      </c>
      <c r="F46" s="108"/>
    </row>
    <row r="47" spans="1:6">
      <c r="A47" s="8"/>
      <c r="B47" s="112" t="s">
        <v>1486</v>
      </c>
      <c r="C47" s="105"/>
      <c r="D47" s="106"/>
      <c r="E47" s="107">
        <f t="shared" si="2"/>
        <v>0</v>
      </c>
      <c r="F47" s="108"/>
    </row>
    <row r="48" spans="1:6">
      <c r="A48" s="8"/>
      <c r="B48" s="112" t="s">
        <v>1477</v>
      </c>
      <c r="C48" s="105"/>
      <c r="D48" s="106"/>
      <c r="E48" s="107">
        <f t="shared" si="2"/>
        <v>0</v>
      </c>
      <c r="F48" s="108"/>
    </row>
    <row r="49" spans="1:6">
      <c r="A49" s="8"/>
      <c r="B49" s="112" t="s">
        <v>1478</v>
      </c>
      <c r="C49" s="105"/>
      <c r="D49" s="106"/>
      <c r="E49" s="107">
        <f t="shared" si="2"/>
        <v>0</v>
      </c>
      <c r="F49" s="108"/>
    </row>
    <row r="50" spans="1:6">
      <c r="A50" s="8"/>
      <c r="B50" s="112" t="s">
        <v>1479</v>
      </c>
      <c r="C50" s="105"/>
      <c r="D50" s="106"/>
      <c r="E50" s="107">
        <f t="shared" si="2"/>
        <v>0</v>
      </c>
      <c r="F50" s="108"/>
    </row>
    <row r="51" spans="1:6">
      <c r="A51" s="8"/>
      <c r="B51" s="112" t="s">
        <v>1480</v>
      </c>
      <c r="C51" s="105"/>
      <c r="D51" s="106"/>
      <c r="E51" s="107">
        <f>IFERROR(C51*D51,)</f>
        <v>0</v>
      </c>
      <c r="F51" s="108"/>
    </row>
    <row r="52" spans="1:6">
      <c r="A52" s="8"/>
      <c r="B52" s="112" t="s">
        <v>1481</v>
      </c>
      <c r="C52" s="105"/>
      <c r="D52" s="106"/>
      <c r="E52" s="107">
        <f t="shared" si="2"/>
        <v>0</v>
      </c>
      <c r="F52" s="108"/>
    </row>
    <row r="53" spans="1:6">
      <c r="A53" s="8"/>
      <c r="B53" s="112" t="s">
        <v>1482</v>
      </c>
      <c r="C53" s="105"/>
      <c r="D53" s="106"/>
      <c r="E53" s="107">
        <f t="shared" si="2"/>
        <v>0</v>
      </c>
      <c r="F53" s="108"/>
    </row>
    <row r="54" spans="1:6">
      <c r="A54" s="8"/>
      <c r="B54" s="112" t="s">
        <v>1483</v>
      </c>
      <c r="C54" s="105"/>
      <c r="D54" s="106"/>
      <c r="E54" s="107">
        <f t="shared" si="2"/>
        <v>0</v>
      </c>
      <c r="F54" s="108"/>
    </row>
    <row r="55" spans="1:6">
      <c r="A55" s="8"/>
      <c r="B55" s="112" t="s">
        <v>1484</v>
      </c>
      <c r="C55" s="105"/>
      <c r="D55" s="106"/>
      <c r="E55" s="107">
        <f t="shared" si="2"/>
        <v>0</v>
      </c>
      <c r="F55" s="108"/>
    </row>
    <row r="56" spans="1:6">
      <c r="A56" s="8"/>
      <c r="B56" s="112" t="s">
        <v>1485</v>
      </c>
      <c r="C56" s="105"/>
      <c r="D56" s="106"/>
      <c r="E56" s="107">
        <f t="shared" si="2"/>
        <v>0</v>
      </c>
      <c r="F56" s="108"/>
    </row>
    <row r="57" spans="1:6" ht="31.15" customHeight="1">
      <c r="A57" s="8"/>
      <c r="B57" s="104" t="s">
        <v>1467</v>
      </c>
      <c r="C57" s="113"/>
      <c r="D57" s="114"/>
      <c r="E57" s="115"/>
      <c r="F57" s="111"/>
    </row>
    <row r="58" spans="1:6">
      <c r="A58" s="8"/>
      <c r="B58" s="112" t="s">
        <v>1487</v>
      </c>
      <c r="C58" s="105"/>
      <c r="D58" s="106"/>
      <c r="E58" s="107">
        <f t="shared" si="2"/>
        <v>0</v>
      </c>
      <c r="F58" s="108"/>
    </row>
    <row r="59" spans="1:6">
      <c r="A59" s="8"/>
      <c r="B59" s="112" t="s">
        <v>1488</v>
      </c>
      <c r="C59" s="105"/>
      <c r="D59" s="106"/>
      <c r="E59" s="107">
        <f t="shared" si="2"/>
        <v>0</v>
      </c>
      <c r="F59" s="108"/>
    </row>
    <row r="60" spans="1:6">
      <c r="A60" s="8"/>
      <c r="B60" s="112" t="s">
        <v>1489</v>
      </c>
      <c r="C60" s="105"/>
      <c r="D60" s="106"/>
      <c r="E60" s="107">
        <f t="shared" si="2"/>
        <v>0</v>
      </c>
      <c r="F60" s="108"/>
    </row>
    <row r="61" spans="1:6">
      <c r="A61" s="8"/>
      <c r="B61" s="112" t="s">
        <v>1490</v>
      </c>
      <c r="C61" s="105"/>
      <c r="D61" s="106"/>
      <c r="E61" s="107">
        <f t="shared" si="2"/>
        <v>0</v>
      </c>
      <c r="F61" s="108"/>
    </row>
    <row r="62" spans="1:6">
      <c r="A62" s="8"/>
      <c r="B62" s="112" t="s">
        <v>1491</v>
      </c>
      <c r="C62" s="105"/>
      <c r="D62" s="106"/>
      <c r="E62" s="107">
        <f t="shared" si="2"/>
        <v>0</v>
      </c>
      <c r="F62" s="108"/>
    </row>
    <row r="63" spans="1:6">
      <c r="A63" s="8"/>
      <c r="B63" s="112" t="s">
        <v>1492</v>
      </c>
      <c r="C63" s="105"/>
      <c r="D63" s="106"/>
      <c r="E63" s="107">
        <f>IFERROR(C63*D63,)</f>
        <v>0</v>
      </c>
      <c r="F63" s="108"/>
    </row>
    <row r="64" spans="1:6">
      <c r="A64" s="8"/>
      <c r="B64" s="112" t="s">
        <v>1493</v>
      </c>
      <c r="C64" s="105"/>
      <c r="D64" s="106"/>
      <c r="E64" s="107">
        <f t="shared" si="2"/>
        <v>0</v>
      </c>
      <c r="F64" s="108"/>
    </row>
    <row r="65" spans="1:6">
      <c r="A65" s="8"/>
      <c r="B65" s="112" t="s">
        <v>1494</v>
      </c>
      <c r="C65" s="105"/>
      <c r="D65" s="106"/>
      <c r="E65" s="107">
        <f t="shared" si="2"/>
        <v>0</v>
      </c>
      <c r="F65" s="108"/>
    </row>
    <row r="66" spans="1:6">
      <c r="A66" s="8"/>
      <c r="B66" s="112" t="s">
        <v>1495</v>
      </c>
      <c r="C66" s="105"/>
      <c r="D66" s="106"/>
      <c r="E66" s="107">
        <f t="shared" si="2"/>
        <v>0</v>
      </c>
      <c r="F66" s="108"/>
    </row>
    <row r="67" spans="1:6">
      <c r="A67" s="8"/>
      <c r="B67" s="112" t="s">
        <v>1496</v>
      </c>
      <c r="C67" s="105"/>
      <c r="D67" s="106"/>
      <c r="E67" s="107">
        <f t="shared" si="2"/>
        <v>0</v>
      </c>
      <c r="F67" s="108"/>
    </row>
    <row r="68" spans="1:6">
      <c r="A68" s="8"/>
      <c r="B68" s="112" t="s">
        <v>1497</v>
      </c>
      <c r="C68" s="105"/>
      <c r="D68" s="106"/>
      <c r="E68" s="107">
        <f t="shared" si="2"/>
        <v>0</v>
      </c>
      <c r="F68" s="108"/>
    </row>
    <row r="69" spans="1:6" ht="22.15" customHeight="1">
      <c r="A69" s="8"/>
      <c r="B69" s="104" t="s">
        <v>1466</v>
      </c>
      <c r="C69" s="105"/>
      <c r="D69" s="106"/>
      <c r="E69" s="107">
        <f t="shared" ref="E69:E77" si="3">IFERROR(C69*D69,)</f>
        <v>0</v>
      </c>
      <c r="F69" s="108"/>
    </row>
    <row r="70" spans="1:6" ht="22.15" customHeight="1">
      <c r="A70" s="8">
        <v>20</v>
      </c>
      <c r="B70" s="104" t="s">
        <v>1440</v>
      </c>
      <c r="C70" s="105"/>
      <c r="D70" s="106"/>
      <c r="E70" s="107">
        <f t="shared" si="3"/>
        <v>0</v>
      </c>
      <c r="F70" s="108"/>
    </row>
    <row r="71" spans="1:6" ht="21" customHeight="1">
      <c r="A71" s="8">
        <v>21</v>
      </c>
      <c r="B71" s="104" t="s">
        <v>1441</v>
      </c>
      <c r="C71" s="105"/>
      <c r="D71" s="106"/>
      <c r="E71" s="107">
        <f t="shared" si="3"/>
        <v>0</v>
      </c>
      <c r="F71" s="108"/>
    </row>
    <row r="72" spans="1:6">
      <c r="A72" s="8">
        <v>22</v>
      </c>
      <c r="B72" s="104" t="s">
        <v>1659</v>
      </c>
      <c r="C72" s="105"/>
      <c r="D72" s="106"/>
      <c r="E72" s="107">
        <f t="shared" si="3"/>
        <v>0</v>
      </c>
      <c r="F72" s="108"/>
    </row>
    <row r="73" spans="1:6">
      <c r="A73" s="8">
        <v>23</v>
      </c>
      <c r="B73" s="104" t="s">
        <v>1660</v>
      </c>
      <c r="C73" s="105"/>
      <c r="D73" s="106"/>
      <c r="E73" s="107">
        <f t="shared" si="3"/>
        <v>0</v>
      </c>
      <c r="F73" s="108"/>
    </row>
    <row r="74" spans="1:6">
      <c r="A74" s="8">
        <v>24</v>
      </c>
      <c r="B74" s="104" t="s">
        <v>1661</v>
      </c>
      <c r="C74" s="105"/>
      <c r="D74" s="106"/>
      <c r="E74" s="107">
        <f t="shared" si="3"/>
        <v>0</v>
      </c>
      <c r="F74" s="108"/>
    </row>
    <row r="75" spans="1:6">
      <c r="A75" s="8">
        <v>25</v>
      </c>
      <c r="B75" s="104" t="s">
        <v>1662</v>
      </c>
      <c r="C75" s="105"/>
      <c r="D75" s="106"/>
      <c r="E75" s="107">
        <f t="shared" si="3"/>
        <v>0</v>
      </c>
      <c r="F75" s="108"/>
    </row>
    <row r="76" spans="1:6">
      <c r="A76" s="8">
        <v>26</v>
      </c>
      <c r="B76" s="104" t="s">
        <v>1663</v>
      </c>
      <c r="C76" s="105"/>
      <c r="D76" s="106"/>
      <c r="E76" s="107">
        <f t="shared" si="3"/>
        <v>0</v>
      </c>
      <c r="F76" s="108"/>
    </row>
    <row r="77" spans="1:6">
      <c r="A77" s="8">
        <v>27</v>
      </c>
      <c r="B77" s="104" t="s">
        <v>1664</v>
      </c>
      <c r="C77" s="105"/>
      <c r="D77" s="106"/>
      <c r="E77" s="107">
        <f t="shared" si="3"/>
        <v>0</v>
      </c>
      <c r="F77" s="108"/>
    </row>
    <row r="78" spans="1:6" ht="31.5">
      <c r="A78" s="8">
        <v>28</v>
      </c>
      <c r="B78" s="104" t="s">
        <v>1442</v>
      </c>
      <c r="C78" s="109"/>
      <c r="D78" s="109">
        <v>0</v>
      </c>
      <c r="E78" s="110"/>
      <c r="F78" s="111"/>
    </row>
    <row r="79" spans="1:6">
      <c r="A79" s="8">
        <v>28.1</v>
      </c>
      <c r="B79" s="112" t="s">
        <v>1665</v>
      </c>
      <c r="C79" s="105"/>
      <c r="D79" s="106"/>
      <c r="E79" s="107">
        <f t="shared" ref="E79:E84" si="4">IFERROR(C79*D79,)</f>
        <v>0</v>
      </c>
      <c r="F79" s="108"/>
    </row>
    <row r="80" spans="1:6">
      <c r="A80" s="8">
        <v>28.2</v>
      </c>
      <c r="B80" s="112" t="s">
        <v>1666</v>
      </c>
      <c r="C80" s="105"/>
      <c r="D80" s="106"/>
      <c r="E80" s="107">
        <f t="shared" si="4"/>
        <v>0</v>
      </c>
      <c r="F80" s="108"/>
    </row>
    <row r="81" spans="1:6">
      <c r="A81" s="8">
        <v>28.3</v>
      </c>
      <c r="B81" s="112" t="s">
        <v>1667</v>
      </c>
      <c r="C81" s="105"/>
      <c r="D81" s="106"/>
      <c r="E81" s="107">
        <f t="shared" si="4"/>
        <v>0</v>
      </c>
      <c r="F81" s="108"/>
    </row>
    <row r="82" spans="1:6">
      <c r="A82" s="8">
        <v>28.4</v>
      </c>
      <c r="B82" s="112" t="s">
        <v>1668</v>
      </c>
      <c r="C82" s="105"/>
      <c r="D82" s="106"/>
      <c r="E82" s="107">
        <f t="shared" si="4"/>
        <v>0</v>
      </c>
      <c r="F82" s="108"/>
    </row>
    <row r="83" spans="1:6">
      <c r="A83" s="8">
        <v>28.5</v>
      </c>
      <c r="B83" s="112" t="s">
        <v>1669</v>
      </c>
      <c r="C83" s="105"/>
      <c r="D83" s="106"/>
      <c r="E83" s="107">
        <f t="shared" si="4"/>
        <v>0</v>
      </c>
      <c r="F83" s="108"/>
    </row>
    <row r="84" spans="1:6">
      <c r="A84" s="8">
        <v>28.6</v>
      </c>
      <c r="B84" s="112" t="s">
        <v>1670</v>
      </c>
      <c r="C84" s="105"/>
      <c r="D84" s="106"/>
      <c r="E84" s="107">
        <f t="shared" si="4"/>
        <v>0</v>
      </c>
      <c r="F84" s="108"/>
    </row>
    <row r="85" spans="1:6" ht="31.5">
      <c r="A85" s="8">
        <v>29</v>
      </c>
      <c r="B85" s="104" t="s">
        <v>1443</v>
      </c>
      <c r="C85" s="109"/>
      <c r="D85" s="109"/>
      <c r="E85" s="110"/>
      <c r="F85" s="111"/>
    </row>
    <row r="86" spans="1:6">
      <c r="A86" s="8">
        <v>29.1</v>
      </c>
      <c r="B86" s="112" t="s">
        <v>1444</v>
      </c>
      <c r="C86" s="105"/>
      <c r="D86" s="106"/>
      <c r="E86" s="107">
        <f t="shared" ref="E86:E91" si="5">IFERROR(C86*D86,)</f>
        <v>0</v>
      </c>
      <c r="F86" s="108"/>
    </row>
    <row r="87" spans="1:6">
      <c r="A87" s="8">
        <v>29.2</v>
      </c>
      <c r="B87" s="112" t="s">
        <v>1671</v>
      </c>
      <c r="C87" s="105"/>
      <c r="D87" s="106"/>
      <c r="E87" s="107">
        <f t="shared" si="5"/>
        <v>0</v>
      </c>
      <c r="F87" s="108"/>
    </row>
    <row r="88" spans="1:6">
      <c r="A88" s="8">
        <v>30</v>
      </c>
      <c r="B88" s="104" t="s">
        <v>1672</v>
      </c>
      <c r="C88" s="105"/>
      <c r="D88" s="106"/>
      <c r="E88" s="107">
        <f t="shared" si="5"/>
        <v>0</v>
      </c>
      <c r="F88" s="108"/>
    </row>
    <row r="89" spans="1:6">
      <c r="A89" s="8">
        <v>31</v>
      </c>
      <c r="B89" s="104" t="s">
        <v>1673</v>
      </c>
      <c r="C89" s="105"/>
      <c r="D89" s="106"/>
      <c r="E89" s="107">
        <f t="shared" si="5"/>
        <v>0</v>
      </c>
      <c r="F89" s="108"/>
    </row>
    <row r="90" spans="1:6">
      <c r="A90" s="8">
        <v>32</v>
      </c>
      <c r="B90" s="104" t="s">
        <v>1674</v>
      </c>
      <c r="C90" s="105"/>
      <c r="D90" s="106"/>
      <c r="E90" s="107">
        <f t="shared" si="5"/>
        <v>0</v>
      </c>
      <c r="F90" s="108"/>
    </row>
    <row r="91" spans="1:6">
      <c r="A91" s="8">
        <v>33</v>
      </c>
      <c r="B91" s="104" t="s">
        <v>1402</v>
      </c>
      <c r="C91" s="105"/>
      <c r="D91" s="106"/>
      <c r="E91" s="107">
        <f t="shared" si="5"/>
        <v>0</v>
      </c>
      <c r="F91" s="108"/>
    </row>
    <row r="92" spans="1:6" s="31" customFormat="1" ht="31.5">
      <c r="A92" s="8">
        <v>0</v>
      </c>
      <c r="B92" s="116" t="s">
        <v>1419</v>
      </c>
      <c r="C92" s="117"/>
      <c r="D92" s="118"/>
      <c r="E92" s="102">
        <f>SUM($E$93:$E$105)</f>
        <v>0</v>
      </c>
      <c r="F92" s="103"/>
    </row>
    <row r="93" spans="1:6">
      <c r="A93" s="8">
        <v>34</v>
      </c>
      <c r="B93" s="104" t="s">
        <v>1416</v>
      </c>
      <c r="C93" s="105"/>
      <c r="D93" s="106"/>
      <c r="E93" s="107">
        <f t="shared" ref="E93:E105" si="6">IFERROR(C93*D93,)</f>
        <v>0</v>
      </c>
      <c r="F93" s="108"/>
    </row>
    <row r="94" spans="1:6">
      <c r="A94" s="8">
        <v>35</v>
      </c>
      <c r="B94" s="104" t="s">
        <v>1403</v>
      </c>
      <c r="C94" s="105"/>
      <c r="D94" s="106"/>
      <c r="E94" s="107">
        <f t="shared" si="6"/>
        <v>0</v>
      </c>
      <c r="F94" s="108"/>
    </row>
    <row r="95" spans="1:6">
      <c r="A95" s="8">
        <v>36</v>
      </c>
      <c r="B95" s="104" t="s">
        <v>1404</v>
      </c>
      <c r="C95" s="105"/>
      <c r="D95" s="106"/>
      <c r="E95" s="107">
        <f t="shared" si="6"/>
        <v>0</v>
      </c>
      <c r="F95" s="108"/>
    </row>
    <row r="96" spans="1:6">
      <c r="A96" s="8">
        <v>37</v>
      </c>
      <c r="B96" s="104" t="s">
        <v>1405</v>
      </c>
      <c r="C96" s="105"/>
      <c r="D96" s="106"/>
      <c r="E96" s="107">
        <f t="shared" si="6"/>
        <v>0</v>
      </c>
      <c r="F96" s="108"/>
    </row>
    <row r="97" spans="1:6">
      <c r="A97" s="8">
        <v>38</v>
      </c>
      <c r="B97" s="104" t="s">
        <v>1406</v>
      </c>
      <c r="C97" s="105"/>
      <c r="D97" s="106"/>
      <c r="E97" s="107">
        <f t="shared" si="6"/>
        <v>0</v>
      </c>
      <c r="F97" s="108"/>
    </row>
    <row r="98" spans="1:6">
      <c r="A98" s="8">
        <v>39</v>
      </c>
      <c r="B98" s="104" t="s">
        <v>1407</v>
      </c>
      <c r="C98" s="105"/>
      <c r="D98" s="106"/>
      <c r="E98" s="107">
        <f t="shared" si="6"/>
        <v>0</v>
      </c>
      <c r="F98" s="108"/>
    </row>
    <row r="99" spans="1:6">
      <c r="A99" s="8">
        <v>40</v>
      </c>
      <c r="B99" s="104" t="s">
        <v>1408</v>
      </c>
      <c r="C99" s="105"/>
      <c r="D99" s="106"/>
      <c r="E99" s="107">
        <f t="shared" si="6"/>
        <v>0</v>
      </c>
      <c r="F99" s="108"/>
    </row>
    <row r="100" spans="1:6">
      <c r="A100" s="8">
        <v>41</v>
      </c>
      <c r="B100" s="104" t="s">
        <v>1409</v>
      </c>
      <c r="C100" s="105"/>
      <c r="D100" s="106"/>
      <c r="E100" s="107">
        <f t="shared" si="6"/>
        <v>0</v>
      </c>
      <c r="F100" s="108"/>
    </row>
    <row r="101" spans="1:6">
      <c r="A101" s="8">
        <v>42</v>
      </c>
      <c r="B101" s="104" t="s">
        <v>1410</v>
      </c>
      <c r="C101" s="105"/>
      <c r="D101" s="106"/>
      <c r="E101" s="107">
        <f t="shared" si="6"/>
        <v>0</v>
      </c>
      <c r="F101" s="108"/>
    </row>
    <row r="102" spans="1:6">
      <c r="A102" s="8">
        <v>43</v>
      </c>
      <c r="B102" s="104" t="s">
        <v>1411</v>
      </c>
      <c r="C102" s="105"/>
      <c r="D102" s="106"/>
      <c r="E102" s="107">
        <f t="shared" si="6"/>
        <v>0</v>
      </c>
      <c r="F102" s="108"/>
    </row>
    <row r="103" spans="1:6">
      <c r="A103" s="8">
        <v>44</v>
      </c>
      <c r="B103" s="104" t="s">
        <v>1412</v>
      </c>
      <c r="C103" s="105"/>
      <c r="D103" s="106"/>
      <c r="E103" s="107">
        <f t="shared" si="6"/>
        <v>0</v>
      </c>
      <c r="F103" s="108"/>
    </row>
    <row r="104" spans="1:6">
      <c r="A104" s="8">
        <v>45</v>
      </c>
      <c r="B104" s="104" t="s">
        <v>1413</v>
      </c>
      <c r="C104" s="105"/>
      <c r="D104" s="106"/>
      <c r="E104" s="107">
        <f t="shared" si="6"/>
        <v>0</v>
      </c>
      <c r="F104" s="108"/>
    </row>
    <row r="105" spans="1:6">
      <c r="A105" s="8">
        <v>46</v>
      </c>
      <c r="B105" s="104" t="s">
        <v>1414</v>
      </c>
      <c r="C105" s="105"/>
      <c r="D105" s="106"/>
      <c r="E105" s="107">
        <f t="shared" si="6"/>
        <v>0</v>
      </c>
      <c r="F105" s="108"/>
    </row>
    <row r="106" spans="1:6">
      <c r="A106" s="8">
        <v>0</v>
      </c>
      <c r="B106" s="116" t="s">
        <v>1420</v>
      </c>
      <c r="C106" s="119"/>
      <c r="D106" s="120"/>
      <c r="E106" s="102">
        <f>SUM($E$107:$E$111)</f>
        <v>0</v>
      </c>
      <c r="F106" s="111"/>
    </row>
    <row r="107" spans="1:6">
      <c r="A107" s="8">
        <v>47</v>
      </c>
      <c r="B107" s="104" t="s">
        <v>1415</v>
      </c>
      <c r="C107" s="105"/>
      <c r="D107" s="106"/>
      <c r="E107" s="107">
        <f>IFERROR(C107*D107,)</f>
        <v>0</v>
      </c>
      <c r="F107" s="108"/>
    </row>
    <row r="108" spans="1:6" ht="31.5">
      <c r="A108" s="8">
        <v>48</v>
      </c>
      <c r="B108" s="104" t="s">
        <v>1445</v>
      </c>
      <c r="C108" s="105"/>
      <c r="D108" s="106"/>
      <c r="E108" s="107">
        <f>IFERROR(C108*D108,)</f>
        <v>0</v>
      </c>
      <c r="F108" s="108"/>
    </row>
    <row r="109" spans="1:6">
      <c r="A109" s="8">
        <v>49</v>
      </c>
      <c r="B109" s="104" t="s">
        <v>1446</v>
      </c>
      <c r="C109" s="105"/>
      <c r="D109" s="106"/>
      <c r="E109" s="107">
        <f>IFERROR(C109*D109,)</f>
        <v>0</v>
      </c>
      <c r="F109" s="108"/>
    </row>
    <row r="110" spans="1:6">
      <c r="A110" s="8">
        <v>50</v>
      </c>
      <c r="B110" s="121" t="s">
        <v>1417</v>
      </c>
      <c r="C110" s="105"/>
      <c r="D110" s="106"/>
      <c r="E110" s="107">
        <f>IFERROR(C110*D110,)</f>
        <v>0</v>
      </c>
      <c r="F110" s="108"/>
    </row>
    <row r="111" spans="1:6">
      <c r="A111" s="8">
        <v>51</v>
      </c>
      <c r="B111" s="121" t="s">
        <v>1418</v>
      </c>
      <c r="C111" s="105"/>
      <c r="D111" s="106"/>
      <c r="E111" s="107">
        <f>IFERROR(C111*D111,)</f>
        <v>0</v>
      </c>
      <c r="F111" s="108"/>
    </row>
    <row r="112" spans="1:6">
      <c r="A112" s="8"/>
      <c r="B112" s="99" t="s">
        <v>1613</v>
      </c>
      <c r="C112" s="119"/>
      <c r="D112" s="120"/>
      <c r="E112" s="102">
        <f>SUM($E$113:$E$123)</f>
        <v>0</v>
      </c>
      <c r="F112" s="111"/>
    </row>
    <row r="113" spans="1:256">
      <c r="A113" s="8"/>
      <c r="B113" s="122"/>
      <c r="C113" s="105"/>
      <c r="D113" s="106"/>
      <c r="E113" s="107">
        <f t="shared" ref="E113:E123" si="7">IFERROR(C113*D113,)</f>
        <v>0</v>
      </c>
      <c r="F113" s="108"/>
    </row>
    <row r="114" spans="1:256">
      <c r="A114" s="8"/>
      <c r="B114" s="122"/>
      <c r="C114" s="105"/>
      <c r="D114" s="106"/>
      <c r="E114" s="107">
        <f t="shared" si="7"/>
        <v>0</v>
      </c>
      <c r="F114" s="108"/>
    </row>
    <row r="115" spans="1:256">
      <c r="A115" s="8"/>
      <c r="B115" s="122"/>
      <c r="C115" s="105"/>
      <c r="D115" s="106"/>
      <c r="E115" s="107">
        <f t="shared" si="7"/>
        <v>0</v>
      </c>
      <c r="F115" s="108"/>
    </row>
    <row r="116" spans="1:256">
      <c r="A116" s="8"/>
      <c r="B116" s="122"/>
      <c r="C116" s="105"/>
      <c r="D116" s="106"/>
      <c r="E116" s="107">
        <f t="shared" si="7"/>
        <v>0</v>
      </c>
      <c r="F116" s="108"/>
    </row>
    <row r="117" spans="1:256">
      <c r="A117" s="8"/>
      <c r="B117" s="122"/>
      <c r="C117" s="105"/>
      <c r="D117" s="106"/>
      <c r="E117" s="107">
        <f t="shared" si="7"/>
        <v>0</v>
      </c>
      <c r="F117" s="108"/>
    </row>
    <row r="118" spans="1:256">
      <c r="A118" s="8"/>
      <c r="B118" s="122"/>
      <c r="C118" s="105"/>
      <c r="D118" s="106"/>
      <c r="E118" s="107">
        <f t="shared" si="7"/>
        <v>0</v>
      </c>
      <c r="F118" s="108"/>
    </row>
    <row r="119" spans="1:256">
      <c r="A119" s="8"/>
      <c r="B119" s="122"/>
      <c r="C119" s="105"/>
      <c r="D119" s="106"/>
      <c r="E119" s="107">
        <f t="shared" si="7"/>
        <v>0</v>
      </c>
      <c r="F119" s="108"/>
    </row>
    <row r="120" spans="1:256">
      <c r="A120" s="8"/>
      <c r="B120" s="122"/>
      <c r="C120" s="105"/>
      <c r="D120" s="106"/>
      <c r="E120" s="107">
        <f t="shared" si="7"/>
        <v>0</v>
      </c>
      <c r="F120" s="108"/>
    </row>
    <row r="121" spans="1:256">
      <c r="A121" s="8"/>
      <c r="B121" s="122"/>
      <c r="C121" s="105"/>
      <c r="D121" s="106"/>
      <c r="E121" s="107">
        <f t="shared" si="7"/>
        <v>0</v>
      </c>
      <c r="F121" s="108"/>
    </row>
    <row r="122" spans="1:256">
      <c r="A122" s="8"/>
      <c r="B122" s="122"/>
      <c r="C122" s="105"/>
      <c r="D122" s="106"/>
      <c r="E122" s="107">
        <f t="shared" si="7"/>
        <v>0</v>
      </c>
      <c r="F122" s="108"/>
    </row>
    <row r="123" spans="1:256">
      <c r="A123" s="8"/>
      <c r="B123" s="122"/>
      <c r="C123" s="105"/>
      <c r="D123" s="106"/>
      <c r="E123" s="107">
        <f t="shared" si="7"/>
        <v>0</v>
      </c>
      <c r="F123" s="108"/>
    </row>
    <row r="124" spans="1:25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94.5">
      <c r="A125" s="8"/>
      <c r="B125" s="14" t="s">
        <v>1439</v>
      </c>
      <c r="C125" s="13">
        <v>20000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9" customFormat="1" ht="34.9" customHeight="1">
      <c r="A126" s="7"/>
      <c r="B126" s="23"/>
      <c r="C126" s="2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9" customFormat="1" ht="63.6" customHeight="1">
      <c r="A127" s="7"/>
      <c r="B127" s="1026" t="s">
        <v>1437</v>
      </c>
      <c r="C127" s="102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ht="23.25">
      <c r="B128" s="52" t="s">
        <v>1624</v>
      </c>
      <c r="C128" s="41"/>
      <c r="D128" s="1027"/>
      <c r="E128" s="1027"/>
      <c r="F128" s="102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6" ht="23.25">
      <c r="B129" s="52" t="s">
        <v>1622</v>
      </c>
      <c r="C129" s="41"/>
      <c r="D129" s="1027"/>
      <c r="E129" s="1027"/>
      <c r="F129" s="1027"/>
    </row>
    <row r="130" spans="1:6" ht="23.25">
      <c r="B130" s="52" t="s">
        <v>1623</v>
      </c>
      <c r="C130" s="41">
        <f>SUMIFS(E79:E84,F79:F84,"більше 1 року",D79:D84,"&lt;20000")+SUMIFS(E86:E87,F86:F87,"більше 1 року",D86:D87,"&lt;20000")+SUMIFS(E89,F89,"більше 1 року",D89,"&lt;20000")</f>
        <v>0</v>
      </c>
      <c r="D130" s="1027"/>
      <c r="E130" s="1027"/>
      <c r="F130" s="1027"/>
    </row>
    <row r="132" spans="1:6" ht="25.9" customHeight="1"/>
    <row r="133" spans="1:6" ht="60" customHeight="1">
      <c r="B133" s="1026" t="s">
        <v>1438</v>
      </c>
      <c r="C133" s="1026"/>
    </row>
    <row r="134" spans="1:6" ht="25.9" customHeight="1">
      <c r="B134" s="52" t="s">
        <v>1624</v>
      </c>
      <c r="C134" s="41">
        <f>SUMIF(F9:F25,"до 1 року",E9:E25)+SUMIF(F27:F36,"до 1 року",E27:E36)+SUMIF(F38:F56,"до 1 року",E38:E56)+SUMIF(F58:F77,"до 1 року",E58:E77)+SUMIF(F88,"до 1 року",E88)+SUMIF(F90:F91,"до 1 року",E90:E91)+SUMIF(F93:F105,"до 1 року",E93:E105)+SUMIF(F107:F111,"до 1 року",E107:E111)+SUMIF(F113:F123,"до 1 року",E113:E123)</f>
        <v>0</v>
      </c>
    </row>
    <row r="135" spans="1:6" ht="25.9" customHeight="1">
      <c r="B135" s="52" t="s">
        <v>1622</v>
      </c>
      <c r="C135" s="46">
        <v>0</v>
      </c>
    </row>
    <row r="136" spans="1:6" ht="25.9" customHeight="1">
      <c r="B136" s="52" t="s">
        <v>1623</v>
      </c>
      <c r="C136" s="41">
        <v>0</v>
      </c>
    </row>
    <row r="137" spans="1:6" ht="25.9" customHeight="1"/>
    <row r="138" spans="1:6" ht="23.25">
      <c r="B138" s="25" t="s">
        <v>1427</v>
      </c>
      <c r="C138" s="26">
        <v>0.25</v>
      </c>
      <c r="D138" s="26">
        <v>0.25</v>
      </c>
      <c r="E138" s="26">
        <v>0.25</v>
      </c>
      <c r="F138" s="26">
        <v>0.25</v>
      </c>
    </row>
    <row r="139" spans="1:6" ht="25.9" customHeight="1">
      <c r="B139" s="27"/>
      <c r="C139" s="28"/>
      <c r="D139" s="28"/>
      <c r="E139" s="28"/>
      <c r="F139" s="28"/>
    </row>
    <row r="140" spans="1:6" ht="40.5">
      <c r="B140" s="10" t="s">
        <v>1395</v>
      </c>
      <c r="C140" s="29" t="s">
        <v>1592</v>
      </c>
      <c r="D140" s="29" t="s">
        <v>1587</v>
      </c>
      <c r="E140" s="29" t="s">
        <v>1588</v>
      </c>
      <c r="F140" s="29" t="s">
        <v>1625</v>
      </c>
    </row>
    <row r="141" spans="1:6" ht="26.25">
      <c r="B141" s="5" t="s">
        <v>1624</v>
      </c>
      <c r="C141" s="42">
        <f>15000</f>
        <v>15000</v>
      </c>
      <c r="D141" s="42">
        <f>C141</f>
        <v>15000</v>
      </c>
      <c r="E141" s="42">
        <f>D141</f>
        <v>15000</v>
      </c>
      <c r="F141" s="42">
        <f>E141</f>
        <v>15000</v>
      </c>
    </row>
    <row r="142" spans="1:6" ht="26.25">
      <c r="B142" s="5" t="s">
        <v>1622</v>
      </c>
      <c r="C142" s="42"/>
      <c r="D142" s="42"/>
      <c r="E142" s="42"/>
      <c r="F142" s="42"/>
    </row>
    <row r="143" spans="1:6" ht="26.25">
      <c r="B143" s="5" t="s">
        <v>1623</v>
      </c>
      <c r="C143" s="42">
        <f>C130*C138</f>
        <v>0</v>
      </c>
      <c r="D143" s="42">
        <f>C130*D138</f>
        <v>0</v>
      </c>
      <c r="E143" s="42">
        <f>C130*E138</f>
        <v>0</v>
      </c>
      <c r="F143" s="42">
        <f>C130*F138</f>
        <v>0</v>
      </c>
    </row>
    <row r="144" spans="1:6" s="45" customFormat="1" ht="38.450000000000003" customHeight="1">
      <c r="A144" s="43"/>
      <c r="B144" s="40" t="s">
        <v>1424</v>
      </c>
      <c r="C144" s="44">
        <f>C141+C142+C143</f>
        <v>15000</v>
      </c>
      <c r="D144" s="44">
        <f>D141+D142+D143</f>
        <v>15000</v>
      </c>
      <c r="E144" s="44">
        <f>E141+E142+E143</f>
        <v>15000</v>
      </c>
      <c r="F144" s="44">
        <f>F141+F142+F143</f>
        <v>15000</v>
      </c>
    </row>
    <row r="145" spans="1:6" ht="48.6" customHeight="1">
      <c r="B145" s="11"/>
      <c r="C145" s="30"/>
      <c r="D145" s="30"/>
      <c r="E145" s="30"/>
      <c r="F145" s="30"/>
    </row>
    <row r="146" spans="1:6" ht="23.25">
      <c r="B146" s="25" t="s">
        <v>1426</v>
      </c>
      <c r="C146" s="26">
        <v>0.25</v>
      </c>
      <c r="D146" s="26">
        <v>0.25</v>
      </c>
      <c r="E146" s="26">
        <v>0.25</v>
      </c>
      <c r="F146" s="26">
        <v>0.25</v>
      </c>
    </row>
    <row r="147" spans="1:6" ht="33.6" customHeight="1">
      <c r="B147" s="27"/>
      <c r="C147" s="28"/>
      <c r="D147" s="28"/>
      <c r="E147" s="28"/>
      <c r="F147" s="28"/>
    </row>
    <row r="148" spans="1:6" ht="97.15" customHeight="1">
      <c r="B148" s="12" t="s">
        <v>1428</v>
      </c>
      <c r="C148" s="29" t="s">
        <v>1592</v>
      </c>
      <c r="D148" s="29" t="s">
        <v>1587</v>
      </c>
      <c r="E148" s="29" t="s">
        <v>1588</v>
      </c>
      <c r="F148" s="29" t="s">
        <v>1625</v>
      </c>
    </row>
    <row r="149" spans="1:6" ht="32.450000000000003" customHeight="1">
      <c r="B149" s="5" t="s">
        <v>1624</v>
      </c>
      <c r="C149" s="42">
        <f>$C$134*C146</f>
        <v>0</v>
      </c>
      <c r="D149" s="42">
        <f>$C$134*D146</f>
        <v>0</v>
      </c>
      <c r="E149" s="42">
        <f>$C$134*E146</f>
        <v>0</v>
      </c>
      <c r="F149" s="42">
        <f>$C$134*F146</f>
        <v>0</v>
      </c>
    </row>
    <row r="150" spans="1:6" ht="29.45" customHeight="1">
      <c r="B150" s="5" t="s">
        <v>1622</v>
      </c>
      <c r="C150" s="42">
        <f>$C$135*C146</f>
        <v>0</v>
      </c>
      <c r="D150" s="42">
        <f>$C$135*D146</f>
        <v>0</v>
      </c>
      <c r="E150" s="42">
        <f>$C$135*E146</f>
        <v>0</v>
      </c>
      <c r="F150" s="42">
        <f>$C$135*F146</f>
        <v>0</v>
      </c>
    </row>
    <row r="151" spans="1:6" ht="30.6" customHeight="1">
      <c r="B151" s="5" t="s">
        <v>1623</v>
      </c>
      <c r="C151" s="42">
        <f>$C$136*C146</f>
        <v>0</v>
      </c>
      <c r="D151" s="42">
        <f>$C$136*D146</f>
        <v>0</v>
      </c>
      <c r="E151" s="42">
        <f>$C$136*E146</f>
        <v>0</v>
      </c>
      <c r="F151" s="42">
        <f>$C$136*F146</f>
        <v>0</v>
      </c>
    </row>
    <row r="152" spans="1:6" s="45" customFormat="1" ht="33" customHeight="1">
      <c r="A152" s="43"/>
      <c r="B152" s="40" t="s">
        <v>1424</v>
      </c>
      <c r="C152" s="44">
        <f>C149+C150+C151</f>
        <v>0</v>
      </c>
      <c r="D152" s="44">
        <f>D149+D150+D151</f>
        <v>0</v>
      </c>
      <c r="E152" s="44">
        <f>E149+E150+E151</f>
        <v>0</v>
      </c>
      <c r="F152" s="44">
        <f>F149+F150+F151</f>
        <v>0</v>
      </c>
    </row>
  </sheetData>
  <sheetProtection autoFilter="0"/>
  <protectedRanges>
    <protectedRange sqref="B113:B123" name="Найменування інші"/>
    <protectedRange sqref="D79:D84 D86:D91 D93:D105 D107:D111 D113:D123 D27:D77 D9:D25" name="Оціночна вартість"/>
  </protectedRanges>
  <autoFilter ref="B7:E7"/>
  <mergeCells count="7">
    <mergeCell ref="A2:AF2"/>
    <mergeCell ref="B3:E3"/>
    <mergeCell ref="B133:C133"/>
    <mergeCell ref="D129:F129"/>
    <mergeCell ref="D130:F130"/>
    <mergeCell ref="D128:F128"/>
    <mergeCell ref="B127:C127"/>
  </mergeCells>
  <phoneticPr fontId="0" type="noConversion"/>
  <conditionalFormatting sqref="C9:D123 F9:F123">
    <cfRule type="notContainsBlanks" dxfId="1" priority="3">
      <formula>LEN(TRIM(C9))&gt;0</formula>
    </cfRule>
    <cfRule type="notContainsBlanks" dxfId="0" priority="4">
      <formula>LEN(TRIM(C9))&gt;0</formula>
    </cfRule>
  </conditionalFormatting>
  <dataValidations count="2">
    <dataValidation type="decimal" operator="greaterThanOrEqual" allowBlank="1" showInputMessage="1" showErrorMessage="1" error="Розділення цілої та дробової частини числа має бути введено через крапку &quot;.&quot;_x000a_Наприклад: 23.10" sqref="D93:D105 D107:D111 D113:D123 D9:D91">
      <formula1>0</formula1>
    </dataValidation>
    <dataValidation type="list" allowBlank="1" showInputMessage="1" showErrorMessage="1" sqref="F9:F25 F38:F56 F27:F36 F58:F77 F113:F123 F107:F111 F86:F91 F93:F105 F79:F8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showGridLines="0" view="pageBreakPreview" topLeftCell="A10" zoomScale="50" zoomScaleNormal="50" zoomScaleSheetLayoutView="50" workbookViewId="0">
      <selection activeCell="E7" sqref="E7"/>
    </sheetView>
  </sheetViews>
  <sheetFormatPr defaultColWidth="8.85546875" defaultRowHeight="15" outlineLevelCol="1"/>
  <cols>
    <col min="1" max="1" width="11.42578125" style="39" customWidth="1"/>
    <col min="2" max="2" width="6.140625" style="34" bestFit="1" customWidth="1"/>
    <col min="3" max="3" width="175.7109375" style="34" customWidth="1"/>
    <col min="4" max="5" width="29.140625" style="34" bestFit="1" customWidth="1"/>
    <col min="6" max="6" width="28.42578125" style="34" customWidth="1" outlineLevel="1"/>
    <col min="7" max="7" width="30.42578125" style="34" bestFit="1" customWidth="1" outlineLevel="1"/>
    <col min="8" max="8" width="29" style="34" bestFit="1" customWidth="1" outlineLevel="1"/>
    <col min="9" max="9" width="21.5703125" style="34" bestFit="1" customWidth="1" outlineLevel="1"/>
    <col min="10" max="10" width="17.5703125" style="34" bestFit="1" customWidth="1" outlineLevel="1"/>
    <col min="11" max="11" width="14.5703125" style="35" bestFit="1" customWidth="1"/>
    <col min="12" max="12" width="17.5703125" style="34" bestFit="1" customWidth="1" outlineLevel="1"/>
    <col min="13" max="13" width="14.5703125" style="34" bestFit="1" customWidth="1" outlineLevel="1"/>
    <col min="14" max="14" width="20.7109375" style="34" bestFit="1" customWidth="1" outlineLevel="1"/>
    <col min="15" max="15" width="17.5703125" style="34" bestFit="1" customWidth="1" outlineLevel="1"/>
    <col min="16" max="16" width="18.7109375" style="35" customWidth="1"/>
    <col min="17" max="17" width="18.7109375" style="34" customWidth="1"/>
    <col min="18" max="18" width="17" style="34" customWidth="1" outlineLevel="1"/>
    <col min="19" max="19" width="21.42578125" style="34" customWidth="1" outlineLevel="1"/>
    <col min="20" max="22" width="17" style="34" customWidth="1" outlineLevel="1"/>
    <col min="23" max="23" width="22.28515625" style="35" customWidth="1"/>
    <col min="24" max="24" width="19.7109375" style="34" customWidth="1"/>
    <col min="25" max="25" width="53.7109375" style="34" customWidth="1"/>
    <col min="26" max="26" width="31.85546875" style="34" customWidth="1"/>
    <col min="27" max="27" width="37.42578125" style="34" customWidth="1"/>
    <col min="28" max="28" width="24.28515625" style="34" customWidth="1"/>
    <col min="29" max="29" width="34.7109375" style="36" customWidth="1"/>
    <col min="30" max="33" width="20.28515625" style="34" customWidth="1"/>
    <col min="34" max="34" width="20.28515625" style="37" customWidth="1"/>
    <col min="35" max="35" width="15.5703125" style="34" customWidth="1"/>
    <col min="36" max="40" width="16" style="34" customWidth="1"/>
    <col min="41" max="41" width="18.42578125" style="34" customWidth="1"/>
    <col min="42" max="46" width="13.7109375" style="34" customWidth="1"/>
    <col min="47" max="47" width="18.28515625" style="34" customWidth="1"/>
    <col min="48" max="53" width="15.5703125" style="34" customWidth="1"/>
    <col min="54" max="16384" width="8.85546875" style="34"/>
  </cols>
  <sheetData>
    <row r="1" spans="1:34" s="55" customFormat="1" ht="21.75">
      <c r="A1" s="54"/>
      <c r="K1" s="664"/>
      <c r="L1" s="663"/>
      <c r="M1" s="663"/>
      <c r="N1" s="663"/>
      <c r="P1" s="57"/>
      <c r="W1" s="57"/>
      <c r="AC1" s="58"/>
      <c r="AH1" s="56"/>
    </row>
    <row r="2" spans="1:34" s="36" customFormat="1" ht="45">
      <c r="A2" s="53"/>
      <c r="B2" s="971" t="s">
        <v>1459</v>
      </c>
      <c r="C2" s="971"/>
      <c r="D2" s="971"/>
      <c r="E2" s="971"/>
      <c r="F2" s="971"/>
      <c r="G2" s="971"/>
      <c r="H2" s="50"/>
      <c r="I2" s="141"/>
      <c r="J2" s="51"/>
      <c r="K2" s="664"/>
      <c r="L2" s="663"/>
      <c r="M2" s="663"/>
      <c r="N2" s="663"/>
      <c r="AH2" s="38"/>
    </row>
    <row r="3" spans="1:34" s="58" customFormat="1" ht="27.75">
      <c r="A3" s="127"/>
      <c r="B3" s="972" t="s">
        <v>1499</v>
      </c>
      <c r="C3" s="972"/>
      <c r="D3" s="134" t="s">
        <v>1594</v>
      </c>
      <c r="E3" s="134" t="s">
        <v>1595</v>
      </c>
      <c r="F3" s="134" t="s">
        <v>1596</v>
      </c>
      <c r="G3" s="134" t="s">
        <v>1597</v>
      </c>
      <c r="H3" s="134" t="s">
        <v>1598</v>
      </c>
      <c r="I3" s="141"/>
      <c r="J3" s="51"/>
      <c r="K3" s="664"/>
      <c r="L3" s="663"/>
      <c r="M3" s="663"/>
      <c r="N3" s="663"/>
      <c r="AH3" s="128"/>
    </row>
    <row r="4" spans="1:34" s="85" customFormat="1" ht="51.75" customHeight="1">
      <c r="A4" s="129"/>
      <c r="B4" s="968" t="s">
        <v>1854</v>
      </c>
      <c r="C4" s="968"/>
      <c r="D4" s="628">
        <f>SUM(D5:D19)</f>
        <v>11829635.459999999</v>
      </c>
      <c r="E4" s="628">
        <f>SUM(E5:E19)</f>
        <v>10487244.1</v>
      </c>
      <c r="F4" s="628">
        <f>SUM(F5:F19)</f>
        <v>9063424.4800000004</v>
      </c>
      <c r="G4" s="628">
        <f>SUM(G5:G19)</f>
        <v>10495288.579999998</v>
      </c>
      <c r="H4" s="628">
        <f>D4+E4+F4+G4</f>
        <v>41875592.619999997</v>
      </c>
      <c r="I4" s="141"/>
      <c r="J4" s="51"/>
      <c r="K4" s="664"/>
      <c r="L4" s="663"/>
      <c r="M4" s="663"/>
      <c r="N4" s="663"/>
    </row>
    <row r="5" spans="1:34" s="131" customFormat="1" ht="27.75">
      <c r="A5" s="130"/>
      <c r="B5" s="135">
        <v>3</v>
      </c>
      <c r="C5" s="136" t="s">
        <v>1844</v>
      </c>
      <c r="D5" s="937">
        <v>2434733.19</v>
      </c>
      <c r="E5" s="937">
        <v>2434733.19</v>
      </c>
      <c r="F5" s="937">
        <f>2434733.19-0.5</f>
        <v>2434732.69</v>
      </c>
      <c r="G5" s="937">
        <f>2434733.19+0.5</f>
        <v>2434733.69</v>
      </c>
      <c r="H5" s="629">
        <f>D5+E5+F5+G5</f>
        <v>9738932.7599999998</v>
      </c>
      <c r="I5" s="666"/>
      <c r="J5" s="666"/>
      <c r="K5" s="666"/>
      <c r="L5" s="666"/>
      <c r="M5" s="663"/>
      <c r="N5" s="663"/>
      <c r="O5" s="85"/>
    </row>
    <row r="6" spans="1:34" s="131" customFormat="1" ht="27.75">
      <c r="A6" s="130"/>
      <c r="B6" s="135">
        <v>4</v>
      </c>
      <c r="C6" s="137" t="s">
        <v>1845</v>
      </c>
      <c r="D6" s="937">
        <f>6272509.35-1288512-1296556+135307.11</f>
        <v>3822748.4599999995</v>
      </c>
      <c r="E6" s="937">
        <f>6272509.35+1288512</f>
        <v>7561021.3499999996</v>
      </c>
      <c r="F6" s="937">
        <f>6272509.35-135307.11</f>
        <v>6137202.2399999993</v>
      </c>
      <c r="G6" s="937">
        <f>6272509.35+1296556</f>
        <v>7569065.3499999996</v>
      </c>
      <c r="H6" s="629">
        <f t="shared" ref="H6:H18" si="0">D6+E6+F6+G6</f>
        <v>25090037.399999999</v>
      </c>
      <c r="I6" s="666"/>
      <c r="J6" s="666"/>
      <c r="K6" s="666"/>
      <c r="L6" s="666"/>
      <c r="M6" s="663"/>
      <c r="N6" s="663"/>
      <c r="O6" s="85"/>
    </row>
    <row r="7" spans="1:34" s="131" customFormat="1" ht="27.75">
      <c r="A7" s="130"/>
      <c r="B7" s="138">
        <v>7</v>
      </c>
      <c r="C7" s="137" t="s">
        <v>1846</v>
      </c>
      <c r="D7" s="629"/>
      <c r="E7" s="629"/>
      <c r="F7" s="629"/>
      <c r="G7" s="629"/>
      <c r="H7" s="629">
        <f t="shared" si="0"/>
        <v>0</v>
      </c>
      <c r="I7" s="666"/>
      <c r="J7" s="666"/>
      <c r="K7" s="666"/>
      <c r="L7" s="666"/>
      <c r="M7" s="663"/>
      <c r="N7" s="663"/>
      <c r="O7" s="85"/>
    </row>
    <row r="8" spans="1:34" s="131" customFormat="1" ht="55.5">
      <c r="A8" s="130"/>
      <c r="B8" s="138">
        <v>9</v>
      </c>
      <c r="C8" s="137" t="s">
        <v>1847</v>
      </c>
      <c r="D8" s="937">
        <v>5080664.25</v>
      </c>
      <c r="E8" s="629"/>
      <c r="F8" s="629"/>
      <c r="G8" s="629"/>
      <c r="H8" s="629">
        <f t="shared" si="0"/>
        <v>5080664.25</v>
      </c>
      <c r="I8" s="666"/>
      <c r="J8" s="666"/>
      <c r="K8" s="666"/>
      <c r="L8" s="666"/>
      <c r="M8" s="663"/>
      <c r="N8" s="663"/>
      <c r="O8" s="85"/>
    </row>
    <row r="9" spans="1:34" s="131" customFormat="1" ht="27.75">
      <c r="A9" s="130"/>
      <c r="B9" s="138">
        <v>11</v>
      </c>
      <c r="C9" s="137" t="s">
        <v>1848</v>
      </c>
      <c r="D9" s="937">
        <v>13866</v>
      </c>
      <c r="E9" s="937">
        <v>13866</v>
      </c>
      <c r="F9" s="937">
        <v>13866</v>
      </c>
      <c r="G9" s="937">
        <v>13866</v>
      </c>
      <c r="H9" s="629">
        <f>D9+E9+F9+G9</f>
        <v>55464</v>
      </c>
      <c r="I9" s="666"/>
      <c r="J9" s="666"/>
      <c r="K9" s="666"/>
      <c r="L9" s="666"/>
      <c r="M9" s="663"/>
      <c r="N9" s="663"/>
      <c r="O9" s="85"/>
    </row>
    <row r="10" spans="1:34" s="131" customFormat="1" ht="27.75">
      <c r="A10" s="130"/>
      <c r="B10" s="138">
        <v>12</v>
      </c>
      <c r="C10" s="137" t="s">
        <v>307</v>
      </c>
      <c r="D10" s="937">
        <v>2829</v>
      </c>
      <c r="E10" s="937">
        <v>2829</v>
      </c>
      <c r="F10" s="937">
        <v>2829</v>
      </c>
      <c r="G10" s="937">
        <v>2829</v>
      </c>
      <c r="H10" s="629">
        <f>D10+E10+F10+G10</f>
        <v>11316</v>
      </c>
      <c r="I10" s="666"/>
      <c r="J10" s="666"/>
      <c r="K10" s="666"/>
      <c r="L10" s="666"/>
      <c r="M10" s="663"/>
      <c r="N10" s="663"/>
      <c r="O10" s="85"/>
    </row>
    <row r="11" spans="1:34" s="131" customFormat="1" ht="27.75">
      <c r="A11" s="130"/>
      <c r="B11" s="138">
        <v>23</v>
      </c>
      <c r="C11" s="137" t="s">
        <v>1849</v>
      </c>
      <c r="D11" s="937">
        <v>32619.68</v>
      </c>
      <c r="E11" s="937">
        <v>32619.68</v>
      </c>
      <c r="F11" s="937">
        <v>32619.67</v>
      </c>
      <c r="G11" s="937">
        <v>32619.67</v>
      </c>
      <c r="H11" s="629">
        <f t="shared" si="0"/>
        <v>130478.7</v>
      </c>
      <c r="I11" s="666"/>
      <c r="J11" s="666"/>
      <c r="K11" s="666"/>
      <c r="L11" s="666"/>
      <c r="M11" s="663"/>
      <c r="N11" s="663"/>
      <c r="O11" s="85"/>
    </row>
    <row r="12" spans="1:34" s="131" customFormat="1" ht="27.75">
      <c r="A12" s="130"/>
      <c r="B12" s="138">
        <v>24</v>
      </c>
      <c r="C12" s="137" t="s">
        <v>1850</v>
      </c>
      <c r="D12" s="937">
        <v>4332.88</v>
      </c>
      <c r="E12" s="937">
        <v>4332.88</v>
      </c>
      <c r="F12" s="937">
        <v>4332.88</v>
      </c>
      <c r="G12" s="937">
        <v>4332.87</v>
      </c>
      <c r="H12" s="629">
        <f>D12+E12+F12+G12</f>
        <v>17331.509999999998</v>
      </c>
      <c r="I12" s="666"/>
      <c r="J12" s="666"/>
      <c r="K12" s="666"/>
      <c r="L12" s="666"/>
      <c r="M12" s="663"/>
      <c r="N12" s="663"/>
      <c r="O12" s="85"/>
    </row>
    <row r="13" spans="1:34" s="131" customFormat="1" ht="27.75">
      <c r="A13" s="130"/>
      <c r="B13" s="138">
        <v>34</v>
      </c>
      <c r="C13" s="137" t="s">
        <v>1851</v>
      </c>
      <c r="D13" s="937">
        <v>180180</v>
      </c>
      <c r="E13" s="937">
        <v>180180</v>
      </c>
      <c r="F13" s="937">
        <v>180180</v>
      </c>
      <c r="G13" s="937">
        <v>180180</v>
      </c>
      <c r="H13" s="629">
        <f t="shared" si="0"/>
        <v>720720</v>
      </c>
      <c r="I13" s="666"/>
      <c r="J13" s="666"/>
      <c r="K13" s="666"/>
      <c r="L13" s="666"/>
      <c r="M13" s="663"/>
      <c r="N13" s="663"/>
      <c r="O13" s="85"/>
    </row>
    <row r="14" spans="1:34" s="131" customFormat="1" ht="27.75">
      <c r="A14" s="130"/>
      <c r="B14" s="138">
        <v>35</v>
      </c>
      <c r="C14" s="137" t="s">
        <v>1852</v>
      </c>
      <c r="D14" s="937">
        <v>135192</v>
      </c>
      <c r="E14" s="937">
        <v>135192</v>
      </c>
      <c r="F14" s="937">
        <v>135192</v>
      </c>
      <c r="G14" s="937">
        <v>135192</v>
      </c>
      <c r="H14" s="629">
        <f t="shared" si="0"/>
        <v>540768</v>
      </c>
      <c r="I14" s="666"/>
      <c r="J14" s="666"/>
      <c r="K14" s="666"/>
      <c r="L14" s="666"/>
      <c r="M14" s="663"/>
      <c r="N14" s="663"/>
      <c r="O14" s="85"/>
    </row>
    <row r="15" spans="1:34" s="131" customFormat="1" ht="27.75">
      <c r="A15" s="130"/>
      <c r="B15" s="138">
        <v>47</v>
      </c>
      <c r="C15" s="137" t="s">
        <v>1853</v>
      </c>
      <c r="D15" s="629"/>
      <c r="E15" s="629"/>
      <c r="F15" s="629"/>
      <c r="G15" s="629"/>
      <c r="H15" s="629">
        <f t="shared" si="0"/>
        <v>0</v>
      </c>
      <c r="I15" s="666"/>
      <c r="J15" s="666"/>
      <c r="K15" s="666"/>
      <c r="L15" s="666"/>
      <c r="M15" s="663"/>
      <c r="N15" s="663"/>
      <c r="O15" s="85"/>
    </row>
    <row r="16" spans="1:34" s="131" customFormat="1" ht="27.75">
      <c r="A16" s="132"/>
      <c r="B16" s="139">
        <v>53</v>
      </c>
      <c r="C16" s="137" t="s">
        <v>304</v>
      </c>
      <c r="D16" s="629"/>
      <c r="E16" s="629"/>
      <c r="F16" s="629"/>
      <c r="G16" s="629"/>
      <c r="H16" s="629">
        <f t="shared" si="0"/>
        <v>0</v>
      </c>
      <c r="I16" s="666"/>
      <c r="J16" s="666"/>
      <c r="K16" s="666"/>
      <c r="L16" s="666"/>
      <c r="M16" s="663"/>
      <c r="N16" s="663"/>
      <c r="O16" s="85"/>
    </row>
    <row r="17" spans="1:34" s="131" customFormat="1" ht="27.75">
      <c r="A17" s="132"/>
      <c r="B17" s="139">
        <v>54</v>
      </c>
      <c r="C17" s="137" t="s">
        <v>305</v>
      </c>
      <c r="D17" s="937">
        <v>29755</v>
      </c>
      <c r="E17" s="937">
        <f>D17</f>
        <v>29755</v>
      </c>
      <c r="F17" s="937">
        <f>E17</f>
        <v>29755</v>
      </c>
      <c r="G17" s="937">
        <f>F17</f>
        <v>29755</v>
      </c>
      <c r="H17" s="629">
        <f t="shared" si="0"/>
        <v>119020</v>
      </c>
      <c r="I17" s="666"/>
      <c r="J17" s="666"/>
      <c r="K17" s="666"/>
      <c r="L17" s="666"/>
      <c r="M17" s="663"/>
      <c r="N17" s="663"/>
      <c r="O17" s="85"/>
    </row>
    <row r="18" spans="1:34" s="131" customFormat="1" ht="27.75">
      <c r="A18" s="132"/>
      <c r="B18" s="139">
        <v>60</v>
      </c>
      <c r="C18" s="137" t="s">
        <v>308</v>
      </c>
      <c r="D18" s="937">
        <v>92715</v>
      </c>
      <c r="E18" s="937">
        <v>92715</v>
      </c>
      <c r="F18" s="937">
        <v>92715</v>
      </c>
      <c r="G18" s="937">
        <v>92715</v>
      </c>
      <c r="H18" s="629">
        <f t="shared" si="0"/>
        <v>370860</v>
      </c>
      <c r="I18" s="666"/>
      <c r="J18" s="666"/>
      <c r="K18" s="666"/>
      <c r="L18" s="666"/>
      <c r="M18" s="663"/>
      <c r="N18" s="663"/>
      <c r="O18" s="85"/>
    </row>
    <row r="19" spans="1:34" s="86" customFormat="1" ht="59.25" customHeight="1">
      <c r="A19" s="133"/>
      <c r="B19" s="135"/>
      <c r="C19" s="651" t="s">
        <v>1855</v>
      </c>
      <c r="D19" s="629">
        <v>0</v>
      </c>
      <c r="E19" s="629">
        <v>0</v>
      </c>
      <c r="F19" s="629">
        <v>0</v>
      </c>
      <c r="G19" s="629">
        <v>0</v>
      </c>
      <c r="H19" s="629">
        <f>D19+E19+F19+G19</f>
        <v>0</v>
      </c>
      <c r="I19" s="666"/>
      <c r="J19" s="666"/>
      <c r="K19" s="666"/>
      <c r="L19" s="666"/>
      <c r="M19" s="663"/>
      <c r="N19" s="663"/>
      <c r="O19" s="85"/>
    </row>
    <row r="20" spans="1:34" s="85" customFormat="1" ht="27" customHeight="1">
      <c r="A20" s="129"/>
      <c r="B20" s="967" t="s">
        <v>1460</v>
      </c>
      <c r="C20" s="967"/>
      <c r="D20" s="616">
        <f>D26</f>
        <v>2052961.0085689947</v>
      </c>
      <c r="E20" s="616">
        <f>E26</f>
        <v>799926.16065612098</v>
      </c>
      <c r="F20" s="616">
        <f>F26</f>
        <v>551373.28290209954</v>
      </c>
      <c r="G20" s="616">
        <f>G26</f>
        <v>1891892.7002772815</v>
      </c>
      <c r="H20" s="616">
        <f>D20+E20+F20+G20</f>
        <v>5296153.1524044964</v>
      </c>
      <c r="I20" s="666"/>
      <c r="J20" s="666"/>
      <c r="K20" s="666"/>
      <c r="L20" s="666"/>
      <c r="M20" s="663"/>
      <c r="N20" s="663"/>
      <c r="O20" s="270"/>
    </row>
    <row r="21" spans="1:34" s="85" customFormat="1" ht="27">
      <c r="A21" s="129"/>
      <c r="B21" s="967" t="s">
        <v>1856</v>
      </c>
      <c r="C21" s="967"/>
      <c r="D21" s="616">
        <f>D30+D32+D33+D34+D31</f>
        <v>573791.9716431743</v>
      </c>
      <c r="E21" s="616">
        <f>E30+E32+E33+E34+E31</f>
        <v>341397.11215833784</v>
      </c>
      <c r="F21" s="616">
        <f>F30+F32+F33+F34+F31</f>
        <v>300410.77356612514</v>
      </c>
      <c r="G21" s="616">
        <f>G30+G32+G33+G34+G31</f>
        <v>517623.45300554921</v>
      </c>
      <c r="H21" s="616">
        <f>D21+E21+F21+G21</f>
        <v>1733223.3103731866</v>
      </c>
      <c r="I21" s="666"/>
      <c r="J21" s="666"/>
      <c r="K21" s="666"/>
      <c r="L21" s="666"/>
      <c r="M21" s="663"/>
      <c r="N21" s="663"/>
      <c r="O21" s="270"/>
    </row>
    <row r="22" spans="1:34" s="86" customFormat="1" ht="27">
      <c r="A22" s="133"/>
      <c r="B22" s="967" t="s">
        <v>1857</v>
      </c>
      <c r="C22" s="967"/>
      <c r="D22" s="616">
        <f>D4+D21+D20</f>
        <v>14456388.440212168</v>
      </c>
      <c r="E22" s="616">
        <f>E4+E21+E20</f>
        <v>11628567.372814458</v>
      </c>
      <c r="F22" s="616">
        <f>F4+F21+F20</f>
        <v>9915208.5364682246</v>
      </c>
      <c r="G22" s="616">
        <f>G4+G21+G20</f>
        <v>12904804.733282829</v>
      </c>
      <c r="H22" s="616">
        <f>H4+H21+H20</f>
        <v>48904969.082777679</v>
      </c>
      <c r="I22" s="665"/>
      <c r="J22" s="665"/>
      <c r="K22" s="666"/>
      <c r="L22" s="666"/>
      <c r="M22" s="666"/>
      <c r="N22" s="666"/>
      <c r="AH22" s="85"/>
    </row>
    <row r="23" spans="1:34" s="86" customFormat="1" ht="23.25">
      <c r="A23" s="133"/>
      <c r="B23" s="970" t="s">
        <v>1675</v>
      </c>
      <c r="C23" s="970"/>
      <c r="D23" s="617">
        <f>D4/3</f>
        <v>3943211.82</v>
      </c>
      <c r="E23" s="617">
        <f>E4/3</f>
        <v>3495748.0333333332</v>
      </c>
      <c r="F23" s="617">
        <f>F4/3</f>
        <v>3021141.4933333336</v>
      </c>
      <c r="G23" s="617">
        <f>G4/3</f>
        <v>3498429.5266666659</v>
      </c>
      <c r="H23" s="617">
        <f>H22/12</f>
        <v>4075414.0902314731</v>
      </c>
      <c r="I23" s="666"/>
      <c r="J23" s="666"/>
      <c r="K23" s="666"/>
      <c r="L23" s="666"/>
      <c r="M23" s="666"/>
      <c r="N23" s="666"/>
      <c r="AH23" s="85"/>
    </row>
    <row r="24" spans="1:34" s="55" customFormat="1" ht="27.75">
      <c r="A24" s="54"/>
      <c r="B24" s="969" t="s">
        <v>1681</v>
      </c>
      <c r="C24" s="969"/>
      <c r="D24" s="969"/>
      <c r="E24" s="969"/>
      <c r="F24" s="969"/>
      <c r="G24" s="969"/>
      <c r="H24" s="140"/>
      <c r="I24" s="269"/>
      <c r="J24" s="269"/>
      <c r="K24" s="667"/>
      <c r="L24" s="269"/>
      <c r="M24" s="269"/>
      <c r="N24" s="269"/>
      <c r="P24" s="57"/>
      <c r="W24" s="57"/>
      <c r="AC24" s="58"/>
      <c r="AH24" s="56"/>
    </row>
    <row r="25" spans="1:34" s="55" customFormat="1" ht="27">
      <c r="A25" s="54"/>
      <c r="B25" s="974" t="s">
        <v>1499</v>
      </c>
      <c r="C25" s="974"/>
      <c r="D25" s="134" t="s">
        <v>1594</v>
      </c>
      <c r="E25" s="134" t="s">
        <v>1595</v>
      </c>
      <c r="F25" s="134" t="s">
        <v>1596</v>
      </c>
      <c r="G25" s="134" t="s">
        <v>1597</v>
      </c>
      <c r="H25" s="134" t="s">
        <v>1598</v>
      </c>
      <c r="I25" s="269"/>
      <c r="J25" s="269"/>
      <c r="K25" s="667"/>
      <c r="L25" s="269"/>
      <c r="M25" s="269"/>
      <c r="N25" s="269"/>
      <c r="P25" s="57"/>
      <c r="W25" s="57"/>
      <c r="AC25" s="58"/>
      <c r="AH25" s="56"/>
    </row>
    <row r="26" spans="1:34" s="58" customFormat="1" ht="27.75">
      <c r="A26" s="127"/>
      <c r="B26" s="966" t="s">
        <v>1460</v>
      </c>
      <c r="C26" s="966"/>
      <c r="D26" s="615">
        <f>D27+D28+D29</f>
        <v>2052961.0085689947</v>
      </c>
      <c r="E26" s="615">
        <f>E27+E28+E29</f>
        <v>799926.16065612098</v>
      </c>
      <c r="F26" s="615">
        <f>F27+F28+F29</f>
        <v>551373.28290209954</v>
      </c>
      <c r="G26" s="615">
        <f>G27+G28+G29</f>
        <v>1891892.7002772815</v>
      </c>
      <c r="H26" s="615">
        <f t="shared" ref="H26:H37" si="1">SUM(D26:G26)</f>
        <v>5296153.1524044964</v>
      </c>
      <c r="I26" s="922"/>
      <c r="J26" s="662"/>
      <c r="K26" s="662"/>
      <c r="L26" s="662"/>
      <c r="M26" s="662"/>
      <c r="N26" s="662"/>
      <c r="AH26" s="128"/>
    </row>
    <row r="27" spans="1:34" s="58" customFormat="1" ht="27.75">
      <c r="A27" s="127"/>
      <c r="B27" s="973" t="s">
        <v>119</v>
      </c>
      <c r="C27" s="973"/>
      <c r="D27" s="615">
        <f ca="1">Енергоносії...!O34</f>
        <v>2052961.0085689947</v>
      </c>
      <c r="E27" s="615">
        <f ca="1">Енергоносії...!O35</f>
        <v>799926.16065612098</v>
      </c>
      <c r="F27" s="615">
        <f ca="1">Енергоносії...!O36</f>
        <v>551373.28290209954</v>
      </c>
      <c r="G27" s="615">
        <f ca="1">Енергоносії...!O37</f>
        <v>1891892.7002772815</v>
      </c>
      <c r="H27" s="615">
        <f t="shared" si="1"/>
        <v>5296153.1524044964</v>
      </c>
      <c r="I27" s="662"/>
      <c r="J27" s="662"/>
      <c r="K27" s="662"/>
      <c r="L27" s="662"/>
      <c r="M27" s="662"/>
      <c r="N27" s="662"/>
      <c r="AH27" s="128"/>
    </row>
    <row r="28" spans="1:34" s="58" customFormat="1" ht="27.75">
      <c r="A28" s="127"/>
      <c r="B28" s="973" t="s">
        <v>1875</v>
      </c>
      <c r="C28" s="973"/>
      <c r="D28" s="615">
        <v>0</v>
      </c>
      <c r="E28" s="615">
        <v>0</v>
      </c>
      <c r="F28" s="615">
        <v>0</v>
      </c>
      <c r="G28" s="615">
        <v>0</v>
      </c>
      <c r="H28" s="615">
        <f t="shared" si="1"/>
        <v>0</v>
      </c>
      <c r="I28" s="662"/>
      <c r="J28" s="662"/>
      <c r="K28" s="662"/>
      <c r="L28" s="662"/>
      <c r="M28" s="662"/>
      <c r="N28" s="662"/>
      <c r="AH28" s="128"/>
    </row>
    <row r="29" spans="1:34" s="58" customFormat="1" ht="27.75">
      <c r="A29" s="127"/>
      <c r="B29" s="973" t="s">
        <v>118</v>
      </c>
      <c r="C29" s="973"/>
      <c r="D29" s="627">
        <v>0</v>
      </c>
      <c r="E29" s="902">
        <v>0</v>
      </c>
      <c r="F29" s="615">
        <v>0</v>
      </c>
      <c r="G29" s="615">
        <v>0</v>
      </c>
      <c r="H29" s="615">
        <f t="shared" si="1"/>
        <v>0</v>
      </c>
      <c r="I29" s="662"/>
      <c r="J29" s="662"/>
      <c r="K29" s="662"/>
      <c r="L29" s="662"/>
      <c r="M29" s="662"/>
      <c r="N29" s="662"/>
      <c r="AH29" s="128"/>
    </row>
    <row r="30" spans="1:34" s="58" customFormat="1" ht="27.75">
      <c r="A30" s="127"/>
      <c r="B30" s="966" t="s">
        <v>295</v>
      </c>
      <c r="C30" s="966"/>
      <c r="D30" s="615">
        <f>(17848.8+140441)/10*3</f>
        <v>47486.94</v>
      </c>
      <c r="E30" s="615">
        <f t="shared" ref="E30:G34" si="2">D30</f>
        <v>47486.94</v>
      </c>
      <c r="F30" s="615">
        <f t="shared" si="2"/>
        <v>47486.94</v>
      </c>
      <c r="G30" s="615">
        <f t="shared" si="2"/>
        <v>47486.94</v>
      </c>
      <c r="H30" s="615">
        <f t="shared" si="1"/>
        <v>189947.76</v>
      </c>
      <c r="I30" s="668"/>
      <c r="J30" s="662"/>
      <c r="K30" s="662"/>
      <c r="L30" s="662"/>
      <c r="M30" s="662"/>
      <c r="N30" s="662"/>
      <c r="AH30" s="128"/>
    </row>
    <row r="31" spans="1:34" s="58" customFormat="1" ht="27.75">
      <c r="A31" s="127"/>
      <c r="B31" s="966" t="s">
        <v>296</v>
      </c>
      <c r="C31" s="966"/>
      <c r="D31" s="615">
        <f>(64943+289992)/10*3</f>
        <v>106480.5</v>
      </c>
      <c r="E31" s="615">
        <f>D31</f>
        <v>106480.5</v>
      </c>
      <c r="F31" s="615">
        <f>E31</f>
        <v>106480.5</v>
      </c>
      <c r="G31" s="615">
        <f>F31</f>
        <v>106480.5</v>
      </c>
      <c r="H31" s="615">
        <f t="shared" si="1"/>
        <v>425922</v>
      </c>
      <c r="I31" s="668"/>
      <c r="J31" s="662"/>
      <c r="K31" s="662"/>
      <c r="L31" s="662"/>
      <c r="M31" s="662"/>
      <c r="N31" s="662"/>
      <c r="AH31" s="128"/>
    </row>
    <row r="32" spans="1:34" s="58" customFormat="1" ht="27.75">
      <c r="A32" s="127"/>
      <c r="B32" s="966" t="s">
        <v>1626</v>
      </c>
      <c r="C32" s="966"/>
      <c r="D32" s="615">
        <f ca="1">16279*109%*3+Енергоносії...!E18+Енергоносії...!L18*1.2+Енергоносії...!E41+ФОП!AD5*3+ФОП!AE5*3+1000</f>
        <v>416524.53164317436</v>
      </c>
      <c r="E32" s="615">
        <f ca="1">16279*109%+Енергоносії...!E19+Енергоносії...!L19*1.2+Енергоносії...!E42+ФОП!AF5/2+ФОП!AG5*3</f>
        <v>184129.67215833784</v>
      </c>
      <c r="F32" s="615">
        <f ca="1">16279*109%+Енергоносії...!E20+Енергоносії...!L20*1.2+Енергоносії...!E43+ФОП!AG5*3</f>
        <v>143143.33356612513</v>
      </c>
      <c r="G32" s="615">
        <f ca="1">16279*109%+Енергоносії...!E21+Енергоносії...!L21*1.2+Енергоносії...!E44+ФОП!AF5/2+ФОП!AF5*2+ФОП!AG5*3</f>
        <v>360356.0130055492</v>
      </c>
      <c r="H32" s="615">
        <f t="shared" si="1"/>
        <v>1104153.5503731866</v>
      </c>
      <c r="I32" s="668"/>
      <c r="J32" s="662"/>
      <c r="K32" s="662"/>
      <c r="L32" s="662"/>
      <c r="M32" s="662"/>
      <c r="N32" s="662"/>
      <c r="AH32" s="128"/>
    </row>
    <row r="33" spans="1:34" s="58" customFormat="1" ht="27.75">
      <c r="A33" s="127"/>
      <c r="B33" s="966" t="s">
        <v>1615</v>
      </c>
      <c r="C33" s="966"/>
      <c r="D33" s="615">
        <f>100*3</f>
        <v>300</v>
      </c>
      <c r="E33" s="615">
        <f t="shared" si="2"/>
        <v>300</v>
      </c>
      <c r="F33" s="615">
        <f t="shared" si="2"/>
        <v>300</v>
      </c>
      <c r="G33" s="615">
        <f t="shared" si="2"/>
        <v>300</v>
      </c>
      <c r="H33" s="615">
        <f t="shared" si="1"/>
        <v>1200</v>
      </c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AH33" s="128"/>
    </row>
    <row r="34" spans="1:34" s="58" customFormat="1" ht="27.75">
      <c r="A34" s="127"/>
      <c r="B34" s="966" t="s">
        <v>1616</v>
      </c>
      <c r="C34" s="966"/>
      <c r="D34" s="615">
        <f>3000</f>
        <v>3000</v>
      </c>
      <c r="E34" s="615">
        <f t="shared" si="2"/>
        <v>3000</v>
      </c>
      <c r="F34" s="615">
        <f t="shared" si="2"/>
        <v>3000</v>
      </c>
      <c r="G34" s="615">
        <f t="shared" si="2"/>
        <v>3000</v>
      </c>
      <c r="H34" s="615">
        <f t="shared" si="1"/>
        <v>12000</v>
      </c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AH34" s="128"/>
    </row>
    <row r="35" spans="1:34" s="58" customFormat="1" ht="27.75">
      <c r="A35" s="127"/>
      <c r="B35" s="966" t="s">
        <v>1593</v>
      </c>
      <c r="C35" s="966"/>
      <c r="D35" s="615"/>
      <c r="E35" s="615"/>
      <c r="F35" s="615"/>
      <c r="G35" s="615"/>
      <c r="H35" s="615">
        <f t="shared" si="1"/>
        <v>0</v>
      </c>
      <c r="I35" s="662"/>
      <c r="J35" s="662"/>
      <c r="K35" s="662"/>
      <c r="L35" s="662"/>
      <c r="M35" s="662"/>
      <c r="N35" s="662"/>
      <c r="AH35" s="128"/>
    </row>
    <row r="36" spans="1:34" s="58" customFormat="1" ht="27.75">
      <c r="A36" s="127"/>
      <c r="B36" s="966" t="s">
        <v>1620</v>
      </c>
      <c r="C36" s="966"/>
      <c r="D36" s="615"/>
      <c r="E36" s="615"/>
      <c r="F36" s="615"/>
      <c r="G36" s="615"/>
      <c r="H36" s="615">
        <f t="shared" si="1"/>
        <v>0</v>
      </c>
      <c r="I36" s="662"/>
      <c r="J36" s="662"/>
      <c r="K36" s="662"/>
      <c r="L36" s="662"/>
      <c r="M36" s="662"/>
      <c r="N36" s="662"/>
      <c r="AH36" s="128"/>
    </row>
    <row r="37" spans="1:34" s="58" customFormat="1" ht="27.75">
      <c r="A37" s="127"/>
      <c r="B37" s="966" t="s">
        <v>1876</v>
      </c>
      <c r="C37" s="966"/>
      <c r="D37" s="616"/>
      <c r="E37" s="615"/>
      <c r="F37" s="615"/>
      <c r="G37" s="615"/>
      <c r="H37" s="615">
        <f t="shared" si="1"/>
        <v>0</v>
      </c>
      <c r="I37" s="662"/>
      <c r="J37" s="662"/>
      <c r="K37" s="662"/>
      <c r="L37" s="662"/>
      <c r="M37" s="662"/>
      <c r="N37" s="662"/>
      <c r="AH37" s="128"/>
    </row>
    <row r="38" spans="1:34" s="58" customFormat="1" ht="30.75" customHeight="1">
      <c r="A38" s="127"/>
      <c r="B38" s="967" t="s">
        <v>729</v>
      </c>
      <c r="C38" s="967"/>
      <c r="D38" s="615">
        <f>D26+D30+D32+D33+D34+D35+D36+D37+D31</f>
        <v>2626752.9802121688</v>
      </c>
      <c r="E38" s="615">
        <f>E26+E30+E32+E33+E34+E35+E36+E37+E31</f>
        <v>1141323.2728144589</v>
      </c>
      <c r="F38" s="615">
        <f>F26+F30+F32+F33+F34+F35+F36+F37+F31</f>
        <v>851784.05646822473</v>
      </c>
      <c r="G38" s="615">
        <f>G26+G30+G32+G33+G34+G35+G36+G37+G31</f>
        <v>2409516.1532828305</v>
      </c>
      <c r="H38" s="615">
        <f>H26+H30+H32+H33+H34+H35+H36+H37+H31</f>
        <v>7029376.4627776826</v>
      </c>
      <c r="I38" s="662"/>
      <c r="J38" s="662"/>
      <c r="K38" s="662"/>
      <c r="L38" s="662"/>
      <c r="M38" s="662"/>
      <c r="N38" s="662"/>
      <c r="AH38" s="128"/>
    </row>
    <row r="39" spans="1:34" s="55" customFormat="1">
      <c r="A39" s="54"/>
      <c r="K39" s="57"/>
      <c r="P39" s="57"/>
      <c r="W39" s="57"/>
      <c r="AC39" s="58"/>
      <c r="AH39" s="56"/>
    </row>
    <row r="40" spans="1:34" s="55" customFormat="1">
      <c r="A40" s="54"/>
      <c r="K40" s="57"/>
      <c r="P40" s="57"/>
      <c r="W40" s="57"/>
      <c r="AC40" s="58"/>
      <c r="AH40" s="56"/>
    </row>
    <row r="41" spans="1:34" s="55" customFormat="1">
      <c r="A41" s="54"/>
      <c r="K41" s="57"/>
      <c r="P41" s="57"/>
      <c r="W41" s="57"/>
      <c r="AC41" s="58"/>
      <c r="AH41" s="56"/>
    </row>
    <row r="42" spans="1:34" s="55" customFormat="1">
      <c r="A42" s="54"/>
      <c r="K42" s="57"/>
      <c r="P42" s="57"/>
      <c r="W42" s="57"/>
      <c r="AC42" s="58"/>
      <c r="AH42" s="56"/>
    </row>
    <row r="43" spans="1:34" s="55" customFormat="1">
      <c r="A43" s="54"/>
      <c r="K43" s="57"/>
      <c r="P43" s="57"/>
      <c r="W43" s="57"/>
      <c r="AC43" s="58"/>
      <c r="AH43" s="56"/>
    </row>
    <row r="44" spans="1:34" s="55" customFormat="1">
      <c r="A44" s="54"/>
      <c r="K44" s="57"/>
      <c r="P44" s="57"/>
      <c r="W44" s="57"/>
      <c r="AC44" s="58"/>
      <c r="AH44" s="56"/>
    </row>
    <row r="45" spans="1:34" s="55" customFormat="1">
      <c r="A45" s="54"/>
      <c r="K45" s="57"/>
      <c r="P45" s="57"/>
      <c r="W45" s="57"/>
      <c r="AC45" s="58"/>
      <c r="AH45" s="56"/>
    </row>
    <row r="46" spans="1:34" s="55" customFormat="1">
      <c r="A46" s="54"/>
      <c r="K46" s="57"/>
      <c r="P46" s="57"/>
      <c r="W46" s="57"/>
      <c r="AC46" s="58"/>
      <c r="AH46" s="56"/>
    </row>
    <row r="47" spans="1:34" s="55" customFormat="1">
      <c r="A47" s="54"/>
      <c r="K47" s="57"/>
      <c r="P47" s="57"/>
      <c r="W47" s="57"/>
      <c r="AC47" s="58"/>
      <c r="AH47" s="56"/>
    </row>
    <row r="48" spans="1:34" s="55" customFormat="1">
      <c r="A48" s="54"/>
      <c r="K48" s="57"/>
      <c r="P48" s="57"/>
      <c r="W48" s="57"/>
      <c r="AC48" s="58"/>
      <c r="AH48" s="56"/>
    </row>
    <row r="49" spans="1:34" s="55" customFormat="1">
      <c r="A49" s="54"/>
      <c r="K49" s="57"/>
      <c r="P49" s="57"/>
      <c r="W49" s="57"/>
      <c r="AC49" s="58"/>
      <c r="AH49" s="56"/>
    </row>
    <row r="50" spans="1:34" s="55" customFormat="1">
      <c r="A50" s="54"/>
      <c r="K50" s="57"/>
      <c r="P50" s="57"/>
      <c r="W50" s="57"/>
      <c r="AC50" s="58"/>
      <c r="AH50" s="56"/>
    </row>
    <row r="51" spans="1:34" s="55" customFormat="1">
      <c r="A51" s="54"/>
      <c r="K51" s="57"/>
      <c r="P51" s="57"/>
      <c r="W51" s="57"/>
      <c r="AC51" s="58"/>
      <c r="AH51" s="56"/>
    </row>
    <row r="52" spans="1:34" s="55" customFormat="1">
      <c r="A52" s="54"/>
      <c r="K52" s="57"/>
      <c r="P52" s="57"/>
      <c r="W52" s="57"/>
      <c r="AC52" s="58"/>
      <c r="AH52" s="56"/>
    </row>
  </sheetData>
  <mergeCells count="22">
    <mergeCell ref="B2:G2"/>
    <mergeCell ref="B22:C22"/>
    <mergeCell ref="B3:C3"/>
    <mergeCell ref="B21:C21"/>
    <mergeCell ref="B28:C28"/>
    <mergeCell ref="B29:C29"/>
    <mergeCell ref="B27:C27"/>
    <mergeCell ref="B25:C25"/>
    <mergeCell ref="B4:C4"/>
    <mergeCell ref="B24:G24"/>
    <mergeCell ref="B26:C26"/>
    <mergeCell ref="B23:C23"/>
    <mergeCell ref="B20:C20"/>
    <mergeCell ref="B32:C32"/>
    <mergeCell ref="B30:C30"/>
    <mergeCell ref="B31:C31"/>
    <mergeCell ref="B38:C38"/>
    <mergeCell ref="B37:C37"/>
    <mergeCell ref="B35:C35"/>
    <mergeCell ref="B33:C33"/>
    <mergeCell ref="B36:C36"/>
    <mergeCell ref="B34:C34"/>
  </mergeCells>
  <phoneticPr fontId="0" type="noConversion"/>
  <conditionalFormatting sqref="D27:G37">
    <cfRule type="notContainsBlanks" dxfId="18" priority="662">
      <formula>LEN(TRIM(D27))&gt;0</formula>
    </cfRule>
  </conditionalFormatting>
  <conditionalFormatting sqref="D29">
    <cfRule type="notContainsBlanks" dxfId="17" priority="2">
      <formula>LEN(TRIM(D29))&gt;0</formula>
    </cfRule>
  </conditionalFormatting>
  <conditionalFormatting sqref="E29">
    <cfRule type="notContainsBlanks" dxfId="16" priority="1">
      <formula>LEN(TRIM(E29))&gt;0</formula>
    </cfRule>
  </conditionalFormatting>
  <pageMargins left="0.7" right="0.7" top="0.75" bottom="0.75" header="0.3" footer="0.3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view="pageBreakPreview" zoomScale="75" zoomScaleNormal="75" zoomScaleSheetLayoutView="75" workbookViewId="0">
      <selection activeCell="L13" sqref="L13"/>
    </sheetView>
  </sheetViews>
  <sheetFormatPr defaultRowHeight="15"/>
  <cols>
    <col min="1" max="1" width="46.28515625" customWidth="1"/>
    <col min="2" max="2" width="24" customWidth="1"/>
    <col min="3" max="3" width="18.28515625" customWidth="1"/>
    <col min="4" max="4" width="21.42578125" customWidth="1"/>
    <col min="5" max="5" width="24.28515625" customWidth="1"/>
    <col min="6" max="6" width="23.140625" customWidth="1"/>
    <col min="11" max="11" width="25.5703125" customWidth="1"/>
    <col min="12" max="12" width="15.85546875" customWidth="1"/>
  </cols>
  <sheetData>
    <row r="2" spans="1:10" ht="15.75">
      <c r="A2" s="982" t="s">
        <v>269</v>
      </c>
      <c r="B2" s="982"/>
      <c r="C2" s="982"/>
      <c r="D2" s="982"/>
      <c r="E2" s="982"/>
      <c r="F2" s="982"/>
      <c r="G2" s="291"/>
      <c r="H2" s="852"/>
      <c r="I2" s="852"/>
      <c r="J2" s="852"/>
    </row>
    <row r="3" spans="1:10" ht="15.75">
      <c r="A3" s="852"/>
      <c r="B3" s="852"/>
      <c r="C3" s="852"/>
      <c r="D3" s="852"/>
      <c r="E3" s="852"/>
      <c r="F3" s="852"/>
      <c r="G3" s="291"/>
      <c r="H3" s="852"/>
      <c r="I3" s="852"/>
      <c r="J3" s="852"/>
    </row>
    <row r="4" spans="1:10" ht="15.75">
      <c r="A4" s="513" t="s">
        <v>228</v>
      </c>
      <c r="B4" s="853" t="s">
        <v>229</v>
      </c>
      <c r="C4" s="853" t="s">
        <v>1586</v>
      </c>
      <c r="D4" s="853" t="s">
        <v>1595</v>
      </c>
      <c r="E4" s="853" t="s">
        <v>1596</v>
      </c>
      <c r="F4" s="853" t="s">
        <v>1589</v>
      </c>
      <c r="G4" s="983" t="s">
        <v>230</v>
      </c>
      <c r="H4" s="983"/>
      <c r="I4" s="983"/>
      <c r="J4" s="983"/>
    </row>
    <row r="5" spans="1:10" ht="15.75">
      <c r="A5" s="857" t="s">
        <v>1538</v>
      </c>
      <c r="B5" s="856">
        <f t="shared" ref="B5:B19" si="0">SUM(C5:F5)</f>
        <v>29767493.396349996</v>
      </c>
      <c r="C5" s="856">
        <f ca="1">ФОП!O30</f>
        <v>8265774.6947499998</v>
      </c>
      <c r="D5" s="856">
        <f ca="1">ФОП!P30</f>
        <v>7456374.8806499997</v>
      </c>
      <c r="E5" s="856">
        <f ca="1">ФОП!Q30</f>
        <v>6421796.9402999999</v>
      </c>
      <c r="F5" s="856">
        <f ca="1">ФОП!R30</f>
        <v>7623546.8806499997</v>
      </c>
      <c r="G5" s="985"/>
      <c r="H5" s="986"/>
      <c r="I5" s="986"/>
      <c r="J5" s="987"/>
    </row>
    <row r="6" spans="1:10" ht="15.75">
      <c r="A6" s="857" t="s">
        <v>1539</v>
      </c>
      <c r="B6" s="856">
        <f t="shared" si="0"/>
        <v>6548848.5471970001</v>
      </c>
      <c r="C6" s="856">
        <f ca="1">ФОП!O31</f>
        <v>1818470.4328450002</v>
      </c>
      <c r="D6" s="856">
        <f ca="1">ФОП!P31</f>
        <v>1640402.4737430001</v>
      </c>
      <c r="E6" s="856">
        <f ca="1">ФОП!Q31</f>
        <v>1412795.3268660002</v>
      </c>
      <c r="F6" s="856">
        <f ca="1">ФОП!R31</f>
        <v>1677180.3137430002</v>
      </c>
      <c r="G6" s="985"/>
      <c r="H6" s="986"/>
      <c r="I6" s="986"/>
      <c r="J6" s="987"/>
    </row>
    <row r="7" spans="1:10" ht="24.75" customHeight="1">
      <c r="A7" s="854" t="s">
        <v>1540</v>
      </c>
      <c r="B7" s="855">
        <f t="shared" si="0"/>
        <v>3761063.7199999993</v>
      </c>
      <c r="C7" s="856">
        <f ca="1">'2220'!J500/4</f>
        <v>940265.92999999982</v>
      </c>
      <c r="D7" s="856">
        <f t="shared" ref="D7:F8" si="1">C7</f>
        <v>940265.92999999982</v>
      </c>
      <c r="E7" s="856">
        <f t="shared" si="1"/>
        <v>940265.92999999982</v>
      </c>
      <c r="F7" s="856">
        <f t="shared" si="1"/>
        <v>940265.92999999982</v>
      </c>
      <c r="G7" s="984" t="s">
        <v>231</v>
      </c>
      <c r="H7" s="984"/>
      <c r="I7" s="984"/>
      <c r="J7" s="984"/>
    </row>
    <row r="8" spans="1:10" ht="20.25" customHeight="1">
      <c r="A8" s="854" t="s">
        <v>1541</v>
      </c>
      <c r="B8" s="855">
        <f t="shared" si="0"/>
        <v>734296.00000000012</v>
      </c>
      <c r="C8" s="856">
        <f ca="1">'2230'!G15/4</f>
        <v>183574.00000000003</v>
      </c>
      <c r="D8" s="856">
        <f t="shared" si="1"/>
        <v>183574.00000000003</v>
      </c>
      <c r="E8" s="856">
        <f t="shared" si="1"/>
        <v>183574.00000000003</v>
      </c>
      <c r="F8" s="856">
        <f t="shared" si="1"/>
        <v>183574.00000000003</v>
      </c>
      <c r="G8" s="984" t="s">
        <v>232</v>
      </c>
      <c r="H8" s="984"/>
      <c r="I8" s="984"/>
      <c r="J8" s="984"/>
    </row>
    <row r="9" spans="1:10" ht="20.25" customHeight="1">
      <c r="A9" s="854" t="s">
        <v>1542</v>
      </c>
      <c r="B9" s="855">
        <f t="shared" si="0"/>
        <v>748883.89999999991</v>
      </c>
      <c r="C9" s="856">
        <f ca="1">'2240'!D37</f>
        <v>115917.20999999999</v>
      </c>
      <c r="D9" s="856">
        <f ca="1">'2240'!G37</f>
        <v>217358.81000000003</v>
      </c>
      <c r="E9" s="856">
        <f ca="1">'2240'!J37</f>
        <v>210833.44</v>
      </c>
      <c r="F9" s="856">
        <f ca="1">'2240'!M37</f>
        <v>204774.44</v>
      </c>
      <c r="G9" s="984" t="s">
        <v>233</v>
      </c>
      <c r="H9" s="984"/>
      <c r="I9" s="984"/>
      <c r="J9" s="984"/>
    </row>
    <row r="10" spans="1:10" ht="20.25" customHeight="1">
      <c r="A10" s="857" t="s">
        <v>1543</v>
      </c>
      <c r="B10" s="855">
        <f t="shared" si="0"/>
        <v>10000</v>
      </c>
      <c r="C10" s="856">
        <v>5000</v>
      </c>
      <c r="D10" s="856">
        <v>5000</v>
      </c>
      <c r="E10" s="856"/>
      <c r="F10" s="856"/>
      <c r="G10" s="981" t="s">
        <v>234</v>
      </c>
      <c r="H10" s="981"/>
      <c r="I10" s="981"/>
      <c r="J10" s="981"/>
    </row>
    <row r="11" spans="1:10" ht="20.25" customHeight="1">
      <c r="A11" s="854" t="s">
        <v>235</v>
      </c>
      <c r="B11" s="855">
        <f t="shared" si="0"/>
        <v>2880000</v>
      </c>
      <c r="C11" s="856">
        <f ca="1">Енергоносії...!K18</f>
        <v>1424800</v>
      </c>
      <c r="D11" s="856">
        <f ca="1">Енергоносії...!K19</f>
        <v>237600</v>
      </c>
      <c r="E11" s="856">
        <f ca="1">Енергоносії...!K20</f>
        <v>0</v>
      </c>
      <c r="F11" s="856">
        <f ca="1">Енергоносії...!K21</f>
        <v>1217600</v>
      </c>
      <c r="G11" s="984" t="s">
        <v>236</v>
      </c>
      <c r="H11" s="984"/>
      <c r="I11" s="984"/>
      <c r="J11" s="984"/>
    </row>
    <row r="12" spans="1:10" ht="20.25" customHeight="1">
      <c r="A12" s="854" t="s">
        <v>235</v>
      </c>
      <c r="B12" s="855">
        <f t="shared" si="0"/>
        <v>99450</v>
      </c>
      <c r="C12" s="856">
        <f ca="1">Енергоносії...!D41</f>
        <v>24480</v>
      </c>
      <c r="D12" s="856">
        <f ca="1">Енергоносії...!D42</f>
        <v>24480</v>
      </c>
      <c r="E12" s="856">
        <f ca="1">Енергоносії...!D43</f>
        <v>25245</v>
      </c>
      <c r="F12" s="856">
        <f ca="1">Енергоносії...!D44</f>
        <v>25245</v>
      </c>
      <c r="G12" s="984" t="s">
        <v>237</v>
      </c>
      <c r="H12" s="984"/>
      <c r="I12" s="984"/>
      <c r="J12" s="984"/>
    </row>
    <row r="13" spans="1:10" ht="20.25" customHeight="1">
      <c r="A13" s="854" t="s">
        <v>1333</v>
      </c>
      <c r="B13" s="855">
        <f t="shared" si="0"/>
        <v>2954000</v>
      </c>
      <c r="C13" s="856">
        <f ca="1">Енергоносії...!D18</f>
        <v>852440</v>
      </c>
      <c r="D13" s="856">
        <f ca="1">Енергоносії...!D19</f>
        <v>633000</v>
      </c>
      <c r="E13" s="856">
        <f ca="1">Енергоносії...!D20</f>
        <v>590800</v>
      </c>
      <c r="F13" s="856">
        <f ca="1">Енергоносії...!D21</f>
        <v>877760</v>
      </c>
      <c r="G13" s="984" t="s">
        <v>264</v>
      </c>
      <c r="H13" s="984"/>
      <c r="I13" s="984"/>
      <c r="J13" s="984"/>
    </row>
    <row r="14" spans="1:10" ht="52.5" customHeight="1">
      <c r="A14" s="854" t="s">
        <v>1544</v>
      </c>
      <c r="B14" s="855">
        <f t="shared" si="0"/>
        <v>0</v>
      </c>
      <c r="C14" s="856">
        <v>0</v>
      </c>
      <c r="D14" s="856">
        <v>0</v>
      </c>
      <c r="E14" s="856">
        <v>0</v>
      </c>
      <c r="F14" s="856">
        <v>0</v>
      </c>
      <c r="G14" s="981" t="s">
        <v>238</v>
      </c>
      <c r="H14" s="981"/>
      <c r="I14" s="981"/>
      <c r="J14" s="981"/>
    </row>
    <row r="15" spans="1:10" ht="16.5" customHeight="1">
      <c r="A15" s="854" t="s">
        <v>1545</v>
      </c>
      <c r="B15" s="855">
        <f t="shared" si="0"/>
        <v>72000</v>
      </c>
      <c r="C15" s="856">
        <f>6000*3</f>
        <v>18000</v>
      </c>
      <c r="D15" s="856">
        <f>C15</f>
        <v>18000</v>
      </c>
      <c r="E15" s="856">
        <f>D15</f>
        <v>18000</v>
      </c>
      <c r="F15" s="856">
        <f>E15</f>
        <v>18000</v>
      </c>
      <c r="G15" s="981" t="s">
        <v>239</v>
      </c>
      <c r="H15" s="981"/>
      <c r="I15" s="981"/>
      <c r="J15" s="981"/>
    </row>
    <row r="16" spans="1:10" ht="55.5" customHeight="1">
      <c r="A16" s="854" t="s">
        <v>240</v>
      </c>
      <c r="B16" s="855">
        <f t="shared" si="0"/>
        <v>504725.2</v>
      </c>
      <c r="C16" s="856">
        <f ca="1">'2210'!E92</f>
        <v>274675</v>
      </c>
      <c r="D16" s="856">
        <f ca="1">'2210'!H92</f>
        <v>182952.2</v>
      </c>
      <c r="E16" s="856">
        <f ca="1">'2210'!K92</f>
        <v>29170</v>
      </c>
      <c r="F16" s="856">
        <f ca="1">'2210'!N92</f>
        <v>17928</v>
      </c>
      <c r="G16" s="984" t="s">
        <v>241</v>
      </c>
      <c r="H16" s="984"/>
      <c r="I16" s="984"/>
      <c r="J16" s="984"/>
    </row>
    <row r="17" spans="1:10" ht="34.5" customHeight="1">
      <c r="A17" s="854" t="s">
        <v>268</v>
      </c>
      <c r="B17" s="855">
        <f t="shared" si="0"/>
        <v>60000</v>
      </c>
      <c r="C17" s="856">
        <f ca="1">'2210'!D86+'2210'!E86+'2210'!F86</f>
        <v>15000</v>
      </c>
      <c r="D17" s="856">
        <f ca="1">'2210'!G86+'2210'!H86+'2210'!I86</f>
        <v>15000</v>
      </c>
      <c r="E17" s="856">
        <f ca="1">'2210'!J86+'2210'!K86+'2210'!L86</f>
        <v>15000</v>
      </c>
      <c r="F17" s="856">
        <f ca="1">'2210'!M86+'2210'!N86+'2210'!O86</f>
        <v>15000</v>
      </c>
      <c r="G17" s="975"/>
      <c r="H17" s="976"/>
      <c r="I17" s="976"/>
      <c r="J17" s="977"/>
    </row>
    <row r="18" spans="1:10" ht="16.5" customHeight="1">
      <c r="A18" s="854" t="s">
        <v>297</v>
      </c>
      <c r="B18" s="855">
        <f t="shared" si="0"/>
        <v>229183.55172886443</v>
      </c>
      <c r="C18" s="856">
        <f>C23+C24+C25+C26+C27+C22</f>
        <v>84085.245273862398</v>
      </c>
      <c r="D18" s="856">
        <f>D23+D24+D25+D26+D27+D22</f>
        <v>40852.768693056307</v>
      </c>
      <c r="E18" s="856">
        <f>E23+E24+E25+E26+E27+E22</f>
        <v>34021.712261020861</v>
      </c>
      <c r="F18" s="856">
        <f>F23+F24+F25+F26+F27+F22</f>
        <v>70223.825500924868</v>
      </c>
      <c r="G18" s="991" t="s">
        <v>274</v>
      </c>
      <c r="H18" s="991"/>
      <c r="I18" s="991"/>
      <c r="J18" s="991"/>
    </row>
    <row r="19" spans="1:10" ht="27.75" customHeight="1">
      <c r="A19" s="854" t="s">
        <v>1548</v>
      </c>
      <c r="B19" s="855">
        <f t="shared" si="0"/>
        <v>0</v>
      </c>
      <c r="C19" s="856">
        <v>0</v>
      </c>
      <c r="D19" s="856">
        <v>0</v>
      </c>
      <c r="E19" s="856">
        <v>0</v>
      </c>
      <c r="F19" s="856">
        <v>0</v>
      </c>
      <c r="G19" s="984" t="s">
        <v>242</v>
      </c>
      <c r="H19" s="984"/>
      <c r="I19" s="984"/>
      <c r="J19" s="984"/>
    </row>
    <row r="20" spans="1:10" ht="37.5" customHeight="1">
      <c r="A20" s="116" t="s">
        <v>243</v>
      </c>
      <c r="B20" s="855">
        <f ca="1">('!!! ФІНАНСОВИЙ ПЛАН 2023 !!!'!E134)*0.005</f>
        <v>134824.76</v>
      </c>
      <c r="C20" s="856">
        <f>$B$20/4</f>
        <v>33706.19</v>
      </c>
      <c r="D20" s="856">
        <f>$B$20/4</f>
        <v>33706.19</v>
      </c>
      <c r="E20" s="856">
        <f>$B$20/4</f>
        <v>33706.19</v>
      </c>
      <c r="F20" s="856">
        <f>$B$20/4</f>
        <v>33706.19</v>
      </c>
      <c r="G20" s="988" t="s">
        <v>244</v>
      </c>
      <c r="H20" s="988"/>
      <c r="I20" s="988"/>
      <c r="J20" s="988"/>
    </row>
    <row r="21" spans="1:10" ht="37.5" customHeight="1">
      <c r="A21" s="116" t="s">
        <v>272</v>
      </c>
      <c r="B21" s="855">
        <f t="shared" ref="B21:B27" si="2">SUM(C21:F21)</f>
        <v>6020344.7640171144</v>
      </c>
      <c r="C21" s="856">
        <f>C5*19.5%+C22</f>
        <v>1689161.3107501124</v>
      </c>
      <c r="D21" s="856">
        <f>D5*19.5%+D22</f>
        <v>1492595.8704198063</v>
      </c>
      <c r="E21" s="856">
        <f>E5*19.5%+E22</f>
        <v>1284022.1156195209</v>
      </c>
      <c r="F21" s="856">
        <f>F5*19.5%+F22</f>
        <v>1554565.4672276748</v>
      </c>
      <c r="G21" s="978"/>
      <c r="H21" s="979"/>
      <c r="I21" s="979"/>
      <c r="J21" s="980"/>
    </row>
    <row r="22" spans="1:10" ht="16.5" customHeight="1">
      <c r="A22" s="858" t="s">
        <v>245</v>
      </c>
      <c r="B22" s="855">
        <f t="shared" si="2"/>
        <v>215683.55172886443</v>
      </c>
      <c r="C22" s="856">
        <f ca="1">(Доходи!D30+Доходи!D32)/6</f>
        <v>77335.245273862398</v>
      </c>
      <c r="D22" s="856">
        <f ca="1">(Доходи!E30+Доходи!E32)/6</f>
        <v>38602.768693056307</v>
      </c>
      <c r="E22" s="856">
        <f ca="1">(Доходи!F30+Доходи!F32)/6</f>
        <v>31771.712261020857</v>
      </c>
      <c r="F22" s="856">
        <f ca="1">(Доходи!G30+Доходи!G32)/6</f>
        <v>67973.825500924868</v>
      </c>
      <c r="G22" s="989" t="s">
        <v>246</v>
      </c>
      <c r="H22" s="989"/>
      <c r="I22" s="989"/>
      <c r="J22" s="989"/>
    </row>
    <row r="23" spans="1:10" ht="16.5" customHeight="1">
      <c r="A23" s="858" t="s">
        <v>247</v>
      </c>
      <c r="B23" s="897">
        <f t="shared" si="2"/>
        <v>4500</v>
      </c>
      <c r="C23" s="856">
        <f>4500</f>
        <v>4500</v>
      </c>
      <c r="D23" s="856"/>
      <c r="E23" s="856"/>
      <c r="F23" s="856"/>
      <c r="G23" s="990" t="s">
        <v>246</v>
      </c>
      <c r="H23" s="990"/>
      <c r="I23" s="990"/>
      <c r="J23" s="990"/>
    </row>
    <row r="24" spans="1:10" ht="33.75" customHeight="1">
      <c r="A24" s="858" t="s">
        <v>299</v>
      </c>
      <c r="B24" s="897">
        <f t="shared" si="2"/>
        <v>1000</v>
      </c>
      <c r="C24" s="856">
        <f>250</f>
        <v>250</v>
      </c>
      <c r="D24" s="856">
        <f>250</f>
        <v>250</v>
      </c>
      <c r="E24" s="856">
        <f>250</f>
        <v>250</v>
      </c>
      <c r="F24" s="856">
        <f>250</f>
        <v>250</v>
      </c>
      <c r="G24" s="990" t="s">
        <v>246</v>
      </c>
      <c r="H24" s="990"/>
      <c r="I24" s="990"/>
      <c r="J24" s="990"/>
    </row>
    <row r="25" spans="1:10" ht="21.75" customHeight="1">
      <c r="A25" s="858" t="s">
        <v>248</v>
      </c>
      <c r="B25" s="897">
        <f t="shared" si="2"/>
        <v>0</v>
      </c>
      <c r="C25" s="856">
        <v>0</v>
      </c>
      <c r="D25" s="856">
        <v>0</v>
      </c>
      <c r="E25" s="856">
        <v>0</v>
      </c>
      <c r="F25" s="856">
        <v>0</v>
      </c>
      <c r="G25" s="990" t="s">
        <v>246</v>
      </c>
      <c r="H25" s="990"/>
      <c r="I25" s="990"/>
      <c r="J25" s="990"/>
    </row>
    <row r="26" spans="1:10" ht="19.5" customHeight="1">
      <c r="A26" s="858" t="s">
        <v>249</v>
      </c>
      <c r="B26" s="897">
        <f t="shared" si="2"/>
        <v>0</v>
      </c>
      <c r="C26" s="856"/>
      <c r="D26" s="856">
        <v>0</v>
      </c>
      <c r="E26" s="856">
        <v>0</v>
      </c>
      <c r="F26" s="856">
        <v>0</v>
      </c>
      <c r="G26" s="990" t="s">
        <v>246</v>
      </c>
      <c r="H26" s="990"/>
      <c r="I26" s="990"/>
      <c r="J26" s="990"/>
    </row>
    <row r="27" spans="1:10" ht="33.75" customHeight="1">
      <c r="A27" s="858" t="s">
        <v>250</v>
      </c>
      <c r="B27" s="897">
        <f t="shared" si="2"/>
        <v>8000</v>
      </c>
      <c r="C27" s="856">
        <f>2000</f>
        <v>2000</v>
      </c>
      <c r="D27" s="856">
        <f>2000</f>
        <v>2000</v>
      </c>
      <c r="E27" s="856">
        <f>2000</f>
        <v>2000</v>
      </c>
      <c r="F27" s="856">
        <f>2000</f>
        <v>2000</v>
      </c>
      <c r="G27" s="981" t="s">
        <v>251</v>
      </c>
      <c r="H27" s="981"/>
      <c r="I27" s="981"/>
      <c r="J27" s="981"/>
    </row>
    <row r="28" spans="1:10" ht="33.75" customHeight="1">
      <c r="A28" s="858" t="s">
        <v>1556</v>
      </c>
      <c r="B28" s="855">
        <f t="shared" ref="B28:B33" si="3">SUM(C28:F28)</f>
        <v>0</v>
      </c>
      <c r="C28" s="856">
        <v>0</v>
      </c>
      <c r="D28" s="856">
        <v>0</v>
      </c>
      <c r="E28" s="856">
        <v>0</v>
      </c>
      <c r="F28" s="856">
        <v>0</v>
      </c>
      <c r="G28" s="990" t="s">
        <v>1591</v>
      </c>
      <c r="H28" s="990"/>
      <c r="I28" s="990"/>
      <c r="J28" s="990"/>
    </row>
    <row r="29" spans="1:10" ht="33.75" customHeight="1">
      <c r="A29" s="859" t="s">
        <v>252</v>
      </c>
      <c r="B29" s="855">
        <f t="shared" si="3"/>
        <v>0</v>
      </c>
      <c r="C29" s="856">
        <f ca="1">'ОЗ-ІНМА'!$D$15+'ОЗ-ІНМА'!$E$15+'ОЗ-ІНМА'!$F$15</f>
        <v>0</v>
      </c>
      <c r="D29" s="856">
        <f ca="1">'ОЗ-ІНМА'!$G$15+'ОЗ-ІНМА'!$H$15+'ОЗ-ІНМА'!$I$15</f>
        <v>0</v>
      </c>
      <c r="E29" s="856">
        <f ca="1">'ОЗ-ІНМА'!$J$15+'ОЗ-ІНМА'!$K$15+'ОЗ-ІНМА'!$L$15</f>
        <v>0</v>
      </c>
      <c r="F29" s="856">
        <f ca="1">'ОЗ-ІНМА'!$M$15+'ОЗ-ІНМА'!$N$15+'ОЗ-ІНМА'!$O$15</f>
        <v>0</v>
      </c>
      <c r="G29" s="984" t="s">
        <v>1591</v>
      </c>
      <c r="H29" s="984"/>
      <c r="I29" s="984"/>
      <c r="J29" s="984"/>
    </row>
    <row r="30" spans="1:10" ht="33.75" customHeight="1">
      <c r="A30" s="859" t="s">
        <v>253</v>
      </c>
      <c r="B30" s="855">
        <f>SUM(C30:F30)</f>
        <v>400200</v>
      </c>
      <c r="C30" s="856">
        <f ca="1">'ОЗ-ІНМА'!D4+'ОЗ-ІНМА'!E4+'ОЗ-ІНМА'!F4+'ОЗ-ІНМА'!D18+'ОЗ-ІНМА'!E18+'ОЗ-ІНМА'!F18</f>
        <v>400200</v>
      </c>
      <c r="D30" s="856">
        <f ca="1">'ОЗ-ІНМА'!G4+'ОЗ-ІНМА'!H4+'ОЗ-ІНМА'!I4+'ОЗ-ІНМА'!G18+'ОЗ-ІНМА'!H18+'ОЗ-ІНМА'!I18</f>
        <v>0</v>
      </c>
      <c r="E30" s="856">
        <f ca="1">'ОЗ-ІНМА'!J4+'ОЗ-ІНМА'!K4+'ОЗ-ІНМА'!L4+'ОЗ-ІНМА'!J18+'ОЗ-ІНМА'!K18+'ОЗ-ІНМА'!L18</f>
        <v>0</v>
      </c>
      <c r="F30" s="856">
        <f ca="1">'ОЗ-ІНМА'!M4+'ОЗ-ІНМА'!N4+'ОЗ-ІНМА'!O4+'ОЗ-ІНМА'!M18+'ОЗ-ІНМА'!N18+'ОЗ-ІНМА'!O18</f>
        <v>0</v>
      </c>
      <c r="G30" s="984" t="s">
        <v>254</v>
      </c>
      <c r="H30" s="984"/>
      <c r="I30" s="984"/>
      <c r="J30" s="984"/>
    </row>
    <row r="31" spans="1:10" ht="33.75" customHeight="1">
      <c r="A31" s="859" t="s">
        <v>255</v>
      </c>
      <c r="B31" s="855">
        <f>SUM(C31:F31)</f>
        <v>0</v>
      </c>
      <c r="C31" s="856">
        <f ca="1">'ОЗ-ІНМА'!D21+'ОЗ-ІНМА'!E21+'ОЗ-ІНМА'!F21</f>
        <v>0</v>
      </c>
      <c r="D31" s="856">
        <f ca="1">'ОЗ-ІНМА'!G21+'ОЗ-ІНМА'!H21+'ОЗ-ІНМА'!I21</f>
        <v>0</v>
      </c>
      <c r="E31" s="856">
        <f ca="1">'ОЗ-ІНМА'!J21+'ОЗ-ІНМА'!K21+'ОЗ-ІНМА'!L21</f>
        <v>0</v>
      </c>
      <c r="F31" s="856">
        <f ca="1">'ОЗ-ІНМА'!M21+'ОЗ-ІНМА'!N21+'ОЗ-ІНМА'!O21</f>
        <v>0</v>
      </c>
      <c r="G31" s="984" t="s">
        <v>254</v>
      </c>
      <c r="H31" s="984"/>
      <c r="I31" s="984"/>
      <c r="J31" s="984"/>
    </row>
    <row r="32" spans="1:10" ht="33.75" customHeight="1">
      <c r="A32" s="859" t="s">
        <v>256</v>
      </c>
      <c r="B32" s="855">
        <f t="shared" si="3"/>
        <v>0</v>
      </c>
      <c r="C32" s="856">
        <v>0</v>
      </c>
      <c r="D32" s="856">
        <v>0</v>
      </c>
      <c r="E32" s="856">
        <v>0</v>
      </c>
      <c r="F32" s="856">
        <v>0</v>
      </c>
      <c r="G32" s="984" t="s">
        <v>254</v>
      </c>
      <c r="H32" s="984"/>
      <c r="I32" s="984"/>
      <c r="J32" s="984"/>
    </row>
    <row r="33" spans="1:10" ht="43.5" customHeight="1">
      <c r="A33" s="859" t="s">
        <v>257</v>
      </c>
      <c r="B33" s="855">
        <f t="shared" si="3"/>
        <v>0</v>
      </c>
      <c r="C33" s="856">
        <v>0</v>
      </c>
      <c r="D33" s="856">
        <v>0</v>
      </c>
      <c r="E33" s="856">
        <v>0</v>
      </c>
      <c r="F33" s="856">
        <v>0</v>
      </c>
      <c r="G33" s="984" t="s">
        <v>258</v>
      </c>
      <c r="H33" s="984"/>
      <c r="I33" s="984"/>
      <c r="J33" s="984"/>
    </row>
    <row r="34" spans="1:10" ht="18" customHeight="1">
      <c r="A34" s="859" t="s">
        <v>1421</v>
      </c>
      <c r="B34" s="855">
        <f>SUM(C34:F34)</f>
        <v>0</v>
      </c>
      <c r="C34" s="856">
        <f ca="1">'ОЗ-ІНМА'!$D$12+'ОЗ-ІНМА'!$E$12+'ОЗ-ІНМА'!$F$12</f>
        <v>0</v>
      </c>
      <c r="D34" s="856">
        <f ca="1">'ОЗ-ІНМА'!G12+'ОЗ-ІНМА'!H12+'ОЗ-ІНМА'!I12</f>
        <v>0</v>
      </c>
      <c r="E34" s="856">
        <f ca="1">'ОЗ-ІНМА'!J12+'ОЗ-ІНМА'!K12+'ОЗ-ІНМА'!L12</f>
        <v>0</v>
      </c>
      <c r="F34" s="856">
        <f ca="1">'ОЗ-ІНМА'!M12+'ОЗ-ІНМА'!N12+'ОЗ-ІНМА'!O12</f>
        <v>0</v>
      </c>
      <c r="G34" s="984" t="s">
        <v>1591</v>
      </c>
      <c r="H34" s="984"/>
      <c r="I34" s="984"/>
      <c r="J34" s="984"/>
    </row>
    <row r="35" spans="1:10" ht="27" customHeight="1">
      <c r="A35" s="860" t="s">
        <v>1621</v>
      </c>
      <c r="B35" s="855">
        <f>SUM(C35:F35)</f>
        <v>0</v>
      </c>
      <c r="C35" s="856"/>
      <c r="D35" s="856"/>
      <c r="E35" s="856"/>
      <c r="F35" s="856"/>
      <c r="G35" s="984" t="s">
        <v>259</v>
      </c>
      <c r="H35" s="984"/>
      <c r="I35" s="984"/>
      <c r="J35" s="984"/>
    </row>
    <row r="36" spans="1:10" ht="33.75" customHeight="1">
      <c r="A36" s="859" t="s">
        <v>260</v>
      </c>
      <c r="B36" s="855">
        <f>SUM(C36:F36)</f>
        <v>1752250.6800000002</v>
      </c>
      <c r="C36" s="856">
        <f>145895.89*3</f>
        <v>437687.67000000004</v>
      </c>
      <c r="D36" s="856">
        <f>C36</f>
        <v>437687.67000000004</v>
      </c>
      <c r="E36" s="856">
        <f>D36+300</f>
        <v>437987.67000000004</v>
      </c>
      <c r="F36" s="856">
        <f>E36+900</f>
        <v>438887.67000000004</v>
      </c>
      <c r="G36" s="981" t="s">
        <v>261</v>
      </c>
      <c r="H36" s="981"/>
      <c r="I36" s="981"/>
      <c r="J36" s="981"/>
    </row>
    <row r="37" spans="1:10" ht="15" customHeight="1">
      <c r="A37" s="861" t="s">
        <v>262</v>
      </c>
      <c r="B37" s="861"/>
      <c r="C37" s="861"/>
      <c r="D37" s="861"/>
      <c r="E37" s="861"/>
      <c r="F37" s="861"/>
      <c r="G37" s="527"/>
      <c r="H37" s="527"/>
      <c r="I37" s="527"/>
      <c r="J37" s="527"/>
    </row>
    <row r="38" spans="1:10" ht="20.25">
      <c r="A38" s="866" t="s">
        <v>1424</v>
      </c>
      <c r="B38" s="871">
        <f>SUM(B5:B20)+SUM(B28:B34)</f>
        <v>48904969.075275861</v>
      </c>
      <c r="C38" s="871">
        <f>SUM(C5:C20)+SUM(C28:C34)</f>
        <v>14456388.702868862</v>
      </c>
      <c r="D38" s="871">
        <f>SUM(D5:D20)+SUM(D28:D34)</f>
        <v>11628567.253086055</v>
      </c>
      <c r="E38" s="871">
        <f>SUM(E5:E20)+SUM(E28:E34)</f>
        <v>9915208.5394270197</v>
      </c>
      <c r="F38" s="871">
        <f>SUM(F5:F20)+SUM(F28:F34)</f>
        <v>12904804.579893922</v>
      </c>
    </row>
    <row r="39" spans="1:10" hidden="1"/>
    <row r="40" spans="1:10" hidden="1">
      <c r="B40" s="845">
        <f ca="1">'!!! ФІНАНСОВИЙ ПЛАН 2023 !!!'!G81</f>
        <v>48904968.775275864</v>
      </c>
      <c r="C40" s="845">
        <f ca="1">'!!! ФІНАНСОВИЙ ПЛАН 2023 !!!'!H81</f>
        <v>14456388.402868859</v>
      </c>
      <c r="D40" s="845">
        <f ca="1">'!!! ФІНАНСОВИЙ ПЛАН 2023 !!!'!I81</f>
        <v>11628567.253086057</v>
      </c>
      <c r="E40" s="845">
        <f ca="1">'!!! ФІНАНСОВИЙ ПЛАН 2023 !!!'!J81</f>
        <v>9915208.5394270197</v>
      </c>
      <c r="F40" s="845">
        <f ca="1">'!!! ФІНАНСОВИЙ ПЛАН 2023 !!!'!K81</f>
        <v>12904804.579893926</v>
      </c>
    </row>
    <row r="42" spans="1:10">
      <c r="B42" s="886">
        <f>B38-B40</f>
        <v>0.29999999701976776</v>
      </c>
      <c r="C42" s="845">
        <f>C38-C40</f>
        <v>0.30000000260770321</v>
      </c>
      <c r="D42" s="845">
        <f>D38-D40</f>
        <v>0</v>
      </c>
      <c r="E42" s="845">
        <f>E38-E40</f>
        <v>0</v>
      </c>
      <c r="F42" s="845">
        <f>F38-F40</f>
        <v>0</v>
      </c>
    </row>
    <row r="43" spans="1:10">
      <c r="A43" s="884" t="s">
        <v>306</v>
      </c>
      <c r="B43" s="921">
        <f>B38</f>
        <v>48904969.075275861</v>
      </c>
    </row>
    <row r="44" spans="1:10">
      <c r="A44" s="884" t="s">
        <v>273</v>
      </c>
      <c r="B44" s="921">
        <f ca="1">Доходи!H22</f>
        <v>48904969.082777679</v>
      </c>
    </row>
    <row r="45" spans="1:10">
      <c r="A45" s="884" t="s">
        <v>1551</v>
      </c>
      <c r="B45" s="885">
        <f>B44-B38</f>
        <v>7.5018182396888733E-3</v>
      </c>
    </row>
  </sheetData>
  <mergeCells count="34">
    <mergeCell ref="G18:J18"/>
    <mergeCell ref="G36:J36"/>
    <mergeCell ref="G25:J25"/>
    <mergeCell ref="G26:J26"/>
    <mergeCell ref="G27:J27"/>
    <mergeCell ref="G28:J28"/>
    <mergeCell ref="G29:J29"/>
    <mergeCell ref="G30:J30"/>
    <mergeCell ref="G31:J31"/>
    <mergeCell ref="G32:J32"/>
    <mergeCell ref="G11:J11"/>
    <mergeCell ref="G12:J12"/>
    <mergeCell ref="G13:J13"/>
    <mergeCell ref="G14:J14"/>
    <mergeCell ref="G15:J15"/>
    <mergeCell ref="G16:J16"/>
    <mergeCell ref="G19:J19"/>
    <mergeCell ref="G20:J20"/>
    <mergeCell ref="G22:J22"/>
    <mergeCell ref="G23:J23"/>
    <mergeCell ref="G34:J34"/>
    <mergeCell ref="G35:J35"/>
    <mergeCell ref="G24:J24"/>
    <mergeCell ref="G33:J33"/>
    <mergeCell ref="G17:J17"/>
    <mergeCell ref="G21:J21"/>
    <mergeCell ref="G10:J10"/>
    <mergeCell ref="A2:F2"/>
    <mergeCell ref="G4:J4"/>
    <mergeCell ref="G7:J7"/>
    <mergeCell ref="G8:J8"/>
    <mergeCell ref="G9:J9"/>
    <mergeCell ref="G5:J5"/>
    <mergeCell ref="G6:J6"/>
  </mergeCells>
  <phoneticPr fontId="55" type="noConversion"/>
  <conditionalFormatting sqref="C22:F36 C7:F19">
    <cfRule type="notContainsBlanks" dxfId="15" priority="1">
      <formula>LEN(TRIM(C7))&gt;0</formula>
    </cfRule>
  </conditionalFormatting>
  <pageMargins left="0.25" right="0.25" top="0.75" bottom="0.75" header="0.3" footer="0.3"/>
  <pageSetup paperSize="9" scale="4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9"/>
  <sheetViews>
    <sheetView view="pageBreakPreview" zoomScale="75" zoomScaleNormal="100" zoomScaleSheetLayoutView="75" workbookViewId="0">
      <selection activeCell="F28" sqref="F28"/>
    </sheetView>
  </sheetViews>
  <sheetFormatPr defaultRowHeight="15"/>
  <cols>
    <col min="1" max="1" width="1.7109375" style="371" customWidth="1"/>
    <col min="2" max="2" width="41.85546875" style="356" bestFit="1" customWidth="1"/>
    <col min="3" max="3" width="57.42578125" style="372" customWidth="1"/>
    <col min="4" max="4" width="13" style="357" bestFit="1" customWidth="1"/>
    <col min="5" max="6" width="13.42578125" style="357" bestFit="1" customWidth="1"/>
    <col min="7" max="7" width="15.42578125" style="357" bestFit="1" customWidth="1"/>
    <col min="8" max="10" width="13" style="357" bestFit="1" customWidth="1"/>
    <col min="11" max="11" width="13.42578125" style="357" bestFit="1" customWidth="1"/>
    <col min="12" max="15" width="13" style="357" bestFit="1" customWidth="1"/>
    <col min="16" max="16" width="12.85546875" style="357" bestFit="1" customWidth="1"/>
  </cols>
  <sheetData>
    <row r="1" spans="1:17"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7">
      <c r="B2" s="359" t="s">
        <v>1622</v>
      </c>
      <c r="C2" s="373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>
        <f>P4+P21</f>
        <v>0</v>
      </c>
    </row>
    <row r="3" spans="1:17" s="301" customFormat="1">
      <c r="A3" s="89"/>
      <c r="B3" s="361" t="s">
        <v>1757</v>
      </c>
      <c r="C3" s="382" t="s">
        <v>1758</v>
      </c>
      <c r="D3" s="88" t="s">
        <v>1282</v>
      </c>
      <c r="E3" s="88" t="s">
        <v>1448</v>
      </c>
      <c r="F3" s="88" t="s">
        <v>1449</v>
      </c>
      <c r="G3" s="88" t="s">
        <v>1450</v>
      </c>
      <c r="H3" s="88" t="s">
        <v>1451</v>
      </c>
      <c r="I3" s="88" t="s">
        <v>1452</v>
      </c>
      <c r="J3" s="88" t="s">
        <v>1283</v>
      </c>
      <c r="K3" s="88" t="s">
        <v>1454</v>
      </c>
      <c r="L3" s="88" t="s">
        <v>1455</v>
      </c>
      <c r="M3" s="88" t="s">
        <v>1456</v>
      </c>
      <c r="N3" s="88" t="s">
        <v>1457</v>
      </c>
      <c r="O3" s="88" t="s">
        <v>1458</v>
      </c>
      <c r="P3" s="88">
        <v>2024</v>
      </c>
      <c r="Q3" s="301">
        <f>Q4+Q21</f>
        <v>0</v>
      </c>
    </row>
    <row r="4" spans="1:17" ht="18.75">
      <c r="B4" s="363"/>
      <c r="C4" s="374"/>
      <c r="D4" s="364">
        <f>SUM(D5:D11)</f>
        <v>0</v>
      </c>
      <c r="E4" s="364">
        <f t="shared" ref="E4:N4" si="0">SUM(E5:E11)</f>
        <v>0</v>
      </c>
      <c r="F4" s="364">
        <f>SUM(F5:F11)</f>
        <v>0</v>
      </c>
      <c r="G4" s="364">
        <f t="shared" si="0"/>
        <v>0</v>
      </c>
      <c r="H4" s="364">
        <f t="shared" si="0"/>
        <v>0</v>
      </c>
      <c r="I4" s="364">
        <f t="shared" si="0"/>
        <v>0</v>
      </c>
      <c r="J4" s="364">
        <f t="shared" si="0"/>
        <v>0</v>
      </c>
      <c r="K4" s="364">
        <f t="shared" si="0"/>
        <v>0</v>
      </c>
      <c r="L4" s="364">
        <f t="shared" si="0"/>
        <v>0</v>
      </c>
      <c r="M4" s="364">
        <f t="shared" si="0"/>
        <v>0</v>
      </c>
      <c r="N4" s="364">
        <f t="shared" si="0"/>
        <v>0</v>
      </c>
      <c r="O4" s="364">
        <f>SUM(O5:O11)</f>
        <v>0</v>
      </c>
      <c r="P4" s="394">
        <f>SUM(P5:P11)</f>
        <v>0</v>
      </c>
    </row>
    <row r="5" spans="1:17">
      <c r="B5" s="653" t="s">
        <v>701</v>
      </c>
      <c r="C5" s="654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7"/>
      <c r="P5" s="395">
        <f t="shared" ref="P5:P11" si="1">SUM(D5:O5)</f>
        <v>0</v>
      </c>
    </row>
    <row r="6" spans="1:17">
      <c r="B6" s="655" t="s">
        <v>702</v>
      </c>
      <c r="C6" s="65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367"/>
      <c r="P6" s="395">
        <f t="shared" si="1"/>
        <v>0</v>
      </c>
    </row>
    <row r="7" spans="1:17">
      <c r="B7" s="655" t="s">
        <v>703</v>
      </c>
      <c r="C7" s="65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7"/>
      <c r="O7" s="367"/>
      <c r="P7" s="395">
        <f t="shared" si="1"/>
        <v>0</v>
      </c>
    </row>
    <row r="8" spans="1:17">
      <c r="B8" s="655" t="s">
        <v>704</v>
      </c>
      <c r="C8" s="657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7"/>
      <c r="P8" s="395">
        <f t="shared" si="1"/>
        <v>0</v>
      </c>
    </row>
    <row r="9" spans="1:17">
      <c r="B9" s="658" t="s">
        <v>705</v>
      </c>
      <c r="C9" s="65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95">
        <f t="shared" si="1"/>
        <v>0</v>
      </c>
    </row>
    <row r="10" spans="1:17">
      <c r="B10" s="658" t="s">
        <v>706</v>
      </c>
      <c r="C10" s="65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7"/>
      <c r="O10" s="367"/>
      <c r="P10" s="395">
        <f>SUM(D10:O10)</f>
        <v>0</v>
      </c>
    </row>
    <row r="11" spans="1:17">
      <c r="B11" s="658" t="s">
        <v>707</v>
      </c>
      <c r="C11" s="65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7"/>
      <c r="O11" s="367"/>
      <c r="P11" s="395">
        <f t="shared" si="1"/>
        <v>0</v>
      </c>
    </row>
    <row r="12" spans="1:17" ht="15.75">
      <c r="B12" s="917" t="s">
        <v>1421</v>
      </c>
      <c r="C12" s="376"/>
      <c r="D12" s="360">
        <f>SUM(D13:D14)</f>
        <v>0</v>
      </c>
      <c r="E12" s="360">
        <f t="shared" ref="E12:O12" si="2">SUM(E13:E14)</f>
        <v>0</v>
      </c>
      <c r="F12" s="360">
        <f t="shared" si="2"/>
        <v>0</v>
      </c>
      <c r="G12" s="360">
        <f t="shared" si="2"/>
        <v>0</v>
      </c>
      <c r="H12" s="360">
        <f t="shared" si="2"/>
        <v>0</v>
      </c>
      <c r="I12" s="360">
        <f t="shared" si="2"/>
        <v>0</v>
      </c>
      <c r="J12" s="360">
        <f t="shared" si="2"/>
        <v>0</v>
      </c>
      <c r="K12" s="360">
        <f t="shared" si="2"/>
        <v>0</v>
      </c>
      <c r="L12" s="360">
        <f t="shared" si="2"/>
        <v>0</v>
      </c>
      <c r="M12" s="360">
        <f t="shared" si="2"/>
        <v>0</v>
      </c>
      <c r="N12" s="360">
        <f t="shared" si="2"/>
        <v>0</v>
      </c>
      <c r="O12" s="360">
        <f t="shared" si="2"/>
        <v>0</v>
      </c>
      <c r="P12" s="395">
        <f>SUM(D12:O12)</f>
        <v>0</v>
      </c>
    </row>
    <row r="13" spans="1:17" ht="15.75">
      <c r="B13" s="917"/>
      <c r="C13" s="376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95">
        <f t="shared" ref="P13:P18" si="3">SUM(D13:O13)</f>
        <v>0</v>
      </c>
    </row>
    <row r="14" spans="1:17" ht="15.75">
      <c r="B14" s="917"/>
      <c r="C14" s="376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95">
        <f t="shared" si="3"/>
        <v>0</v>
      </c>
    </row>
    <row r="15" spans="1:17" ht="15.75">
      <c r="B15" s="917" t="s">
        <v>252</v>
      </c>
      <c r="C15" s="376"/>
      <c r="D15" s="360">
        <f>SUM(D16:D17)</f>
        <v>0</v>
      </c>
      <c r="E15" s="360">
        <f>SUM(E16:E17)</f>
        <v>0</v>
      </c>
      <c r="F15" s="360">
        <f t="shared" ref="F15:O15" si="4">SUM(F16:F17)</f>
        <v>0</v>
      </c>
      <c r="G15" s="360">
        <f t="shared" si="4"/>
        <v>0</v>
      </c>
      <c r="H15" s="360">
        <f t="shared" si="4"/>
        <v>0</v>
      </c>
      <c r="I15" s="360">
        <f t="shared" si="4"/>
        <v>0</v>
      </c>
      <c r="J15" s="360">
        <f t="shared" si="4"/>
        <v>0</v>
      </c>
      <c r="K15" s="360">
        <f t="shared" si="4"/>
        <v>0</v>
      </c>
      <c r="L15" s="360">
        <f t="shared" si="4"/>
        <v>0</v>
      </c>
      <c r="M15" s="360">
        <f t="shared" si="4"/>
        <v>0</v>
      </c>
      <c r="N15" s="360">
        <f t="shared" si="4"/>
        <v>0</v>
      </c>
      <c r="O15" s="360">
        <f t="shared" si="4"/>
        <v>0</v>
      </c>
      <c r="P15" s="395">
        <f>SUM(D15:O15)</f>
        <v>0</v>
      </c>
    </row>
    <row r="16" spans="1:17" ht="15.75">
      <c r="B16" s="917"/>
      <c r="C16" s="376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95">
        <f t="shared" si="3"/>
        <v>0</v>
      </c>
    </row>
    <row r="17" spans="1:16" ht="15.75">
      <c r="B17" s="917"/>
      <c r="C17" s="376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95">
        <f t="shared" si="3"/>
        <v>0</v>
      </c>
    </row>
    <row r="18" spans="1:16" ht="15.75">
      <c r="B18" s="917" t="s">
        <v>300</v>
      </c>
      <c r="C18" s="916" t="s">
        <v>301</v>
      </c>
      <c r="D18" s="360"/>
      <c r="E18" s="360"/>
      <c r="F18" s="360">
        <f>20010*20</f>
        <v>400200</v>
      </c>
      <c r="G18" s="360"/>
      <c r="H18" s="360"/>
      <c r="I18" s="360"/>
      <c r="J18" s="360"/>
      <c r="K18" s="360"/>
      <c r="L18" s="360"/>
      <c r="M18" s="360"/>
      <c r="N18" s="360"/>
      <c r="O18" s="360"/>
      <c r="P18" s="395">
        <f t="shared" si="3"/>
        <v>400200</v>
      </c>
    </row>
    <row r="19" spans="1:16">
      <c r="B19" s="359" t="s">
        <v>683</v>
      </c>
      <c r="C19" s="373"/>
      <c r="D19" s="368"/>
      <c r="E19" s="366"/>
      <c r="F19" s="368"/>
      <c r="G19" s="368"/>
      <c r="H19" s="368"/>
      <c r="I19" s="368"/>
      <c r="J19" s="368"/>
      <c r="K19" s="368"/>
      <c r="L19" s="262"/>
      <c r="M19" s="368"/>
      <c r="N19" s="368"/>
      <c r="O19" s="262"/>
      <c r="P19" s="395">
        <f>SUM(D19:O19)</f>
        <v>0</v>
      </c>
    </row>
    <row r="20" spans="1:16" s="301" customFormat="1">
      <c r="A20" s="89"/>
      <c r="B20" s="361"/>
      <c r="C20" s="382" t="s">
        <v>1758</v>
      </c>
      <c r="D20" s="362" t="s">
        <v>1282</v>
      </c>
      <c r="E20" s="362" t="s">
        <v>1448</v>
      </c>
      <c r="F20" s="362" t="s">
        <v>1449</v>
      </c>
      <c r="G20" s="362" t="s">
        <v>1450</v>
      </c>
      <c r="H20" s="362" t="s">
        <v>1451</v>
      </c>
      <c r="I20" s="362" t="s">
        <v>1452</v>
      </c>
      <c r="J20" s="362" t="s">
        <v>1283</v>
      </c>
      <c r="K20" s="362" t="s">
        <v>1454</v>
      </c>
      <c r="L20" s="362" t="s">
        <v>1455</v>
      </c>
      <c r="M20" s="362" t="s">
        <v>1456</v>
      </c>
      <c r="N20" s="362" t="s">
        <v>1457</v>
      </c>
      <c r="O20" s="88" t="s">
        <v>1458</v>
      </c>
      <c r="P20" s="396">
        <v>2024</v>
      </c>
    </row>
    <row r="21" spans="1:16" ht="18.75">
      <c r="B21" s="369"/>
      <c r="C21" s="374"/>
      <c r="D21" s="365">
        <f>SUM(D22:D39)</f>
        <v>0</v>
      </c>
      <c r="E21" s="365">
        <f>SUM(E22:E39)</f>
        <v>0</v>
      </c>
      <c r="F21" s="365">
        <f>SUM(F22:F39)</f>
        <v>0</v>
      </c>
      <c r="G21" s="365">
        <f>SUM(G22:G39)</f>
        <v>0</v>
      </c>
      <c r="H21" s="365">
        <f>SUM(H22:H39)</f>
        <v>0</v>
      </c>
      <c r="I21" s="365">
        <f t="shared" ref="I21:O21" si="5">SUM(I22:I39)</f>
        <v>0</v>
      </c>
      <c r="J21" s="365">
        <f t="shared" si="5"/>
        <v>0</v>
      </c>
      <c r="K21" s="365">
        <f t="shared" si="5"/>
        <v>0</v>
      </c>
      <c r="L21" s="365">
        <f t="shared" si="5"/>
        <v>0</v>
      </c>
      <c r="M21" s="365">
        <f t="shared" si="5"/>
        <v>0</v>
      </c>
      <c r="N21" s="365">
        <f t="shared" si="5"/>
        <v>0</v>
      </c>
      <c r="O21" s="365">
        <f t="shared" si="5"/>
        <v>0</v>
      </c>
      <c r="P21" s="394">
        <f>SUM(D21:O21)</f>
        <v>0</v>
      </c>
    </row>
    <row r="22" spans="1:16">
      <c r="B22" s="370"/>
      <c r="C22" s="377" t="s">
        <v>693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95">
        <f>SUM(D22:O22)</f>
        <v>0</v>
      </c>
    </row>
    <row r="23" spans="1:16">
      <c r="B23" s="370"/>
      <c r="C23" s="377" t="s">
        <v>688</v>
      </c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95">
        <f t="shared" ref="P23:P39" si="6">SUM(D23:O23)</f>
        <v>0</v>
      </c>
    </row>
    <row r="24" spans="1:16">
      <c r="B24" s="370"/>
      <c r="C24" s="375" t="s">
        <v>696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95">
        <f t="shared" si="6"/>
        <v>0</v>
      </c>
    </row>
    <row r="25" spans="1:16">
      <c r="B25" s="370"/>
      <c r="C25" s="377" t="s">
        <v>692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95">
        <f t="shared" si="6"/>
        <v>0</v>
      </c>
    </row>
    <row r="26" spans="1:16">
      <c r="B26" s="370"/>
      <c r="C26" s="378" t="s">
        <v>682</v>
      </c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95">
        <f t="shared" si="6"/>
        <v>0</v>
      </c>
    </row>
    <row r="27" spans="1:16">
      <c r="B27" s="370"/>
      <c r="C27" s="379" t="s">
        <v>697</v>
      </c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95">
        <f t="shared" si="6"/>
        <v>0</v>
      </c>
    </row>
    <row r="28" spans="1:16">
      <c r="B28" s="370"/>
      <c r="C28" s="377" t="s">
        <v>689</v>
      </c>
      <c r="D28" s="360"/>
      <c r="E28" s="360"/>
      <c r="F28" s="360"/>
      <c r="G28" s="360"/>
      <c r="H28" s="702"/>
      <c r="I28" s="360"/>
      <c r="J28" s="360"/>
      <c r="K28" s="360"/>
      <c r="L28" s="360"/>
      <c r="M28" s="360"/>
      <c r="N28" s="360"/>
      <c r="O28" s="360"/>
      <c r="P28" s="395">
        <f t="shared" si="6"/>
        <v>0</v>
      </c>
    </row>
    <row r="29" spans="1:16">
      <c r="B29" s="370"/>
      <c r="C29" s="380" t="s">
        <v>700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95">
        <f t="shared" si="6"/>
        <v>0</v>
      </c>
    </row>
    <row r="30" spans="1:16">
      <c r="B30" s="370"/>
      <c r="C30" s="377" t="s">
        <v>695</v>
      </c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95">
        <f t="shared" si="6"/>
        <v>0</v>
      </c>
    </row>
    <row r="31" spans="1:16" ht="24.75">
      <c r="B31" s="370"/>
      <c r="C31" s="380" t="s">
        <v>699</v>
      </c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95">
        <f t="shared" si="6"/>
        <v>0</v>
      </c>
    </row>
    <row r="32" spans="1:16">
      <c r="B32" s="370"/>
      <c r="C32" s="377" t="s">
        <v>685</v>
      </c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95">
        <f t="shared" si="6"/>
        <v>0</v>
      </c>
    </row>
    <row r="33" spans="2:16">
      <c r="B33" s="370"/>
      <c r="C33" s="377" t="s">
        <v>694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95">
        <f t="shared" si="6"/>
        <v>0</v>
      </c>
    </row>
    <row r="34" spans="2:16">
      <c r="B34" s="370"/>
      <c r="C34" s="377" t="s">
        <v>686</v>
      </c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95">
        <f t="shared" si="6"/>
        <v>0</v>
      </c>
    </row>
    <row r="35" spans="2:16">
      <c r="B35" s="370"/>
      <c r="C35" s="377" t="s">
        <v>691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95">
        <f t="shared" si="6"/>
        <v>0</v>
      </c>
    </row>
    <row r="36" spans="2:16">
      <c r="B36" s="370"/>
      <c r="C36" s="377" t="s">
        <v>690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95">
        <f>SUM(D36:O36)</f>
        <v>0</v>
      </c>
    </row>
    <row r="37" spans="2:16">
      <c r="B37" s="370"/>
      <c r="C37" s="377" t="s">
        <v>684</v>
      </c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95">
        <f t="shared" si="6"/>
        <v>0</v>
      </c>
    </row>
    <row r="38" spans="2:16">
      <c r="B38" s="370"/>
      <c r="C38" s="377" t="s">
        <v>687</v>
      </c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95">
        <f t="shared" si="6"/>
        <v>0</v>
      </c>
    </row>
    <row r="39" spans="2:16">
      <c r="B39" s="370"/>
      <c r="C39" s="379" t="s">
        <v>698</v>
      </c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95">
        <f t="shared" si="6"/>
        <v>0</v>
      </c>
    </row>
  </sheetData>
  <phoneticPr fontId="55" type="noConversion"/>
  <hyperlinks>
    <hyperlink ref="C23" r:id="rId1" display="https://prozorro.gov.ua/tender/UA-2022-05-27-002362-a"/>
    <hyperlink ref="C34" r:id="rId2" display="https://prozorro.gov.ua/tender/UA-2022-02-15-004370-b"/>
    <hyperlink ref="C37" r:id="rId3" display="https://prozorro.gov.ua/tender/UA-2022-01-26-008402-b"/>
    <hyperlink ref="C38" r:id="rId4" display="https://prozorro.gov.ua/tender/UA-2022-04-20-000925-a"/>
    <hyperlink ref="C25" r:id="rId5" display="https://prozorro.gov.ua/tender/UA-2022-06-15-004172-a"/>
    <hyperlink ref="C22" r:id="rId6" display="https://prozorro.gov.ua/tender/UA-2022-06-14-003890-a"/>
    <hyperlink ref="C26" r:id="rId7" display="https://prozorro.gov.ua/tender/UA-2022-03-24-003253-b"/>
    <hyperlink ref="C32" r:id="rId8" display="https://prozorro.gov.ua/tender/UA-2022-01-24-008182-b"/>
    <hyperlink ref="C28" r:id="rId9" display="https://prozorro.gov.ua/tender/UA-2022-05-20-003869-a"/>
    <hyperlink ref="C36" r:id="rId10" display="https://prozorro.gov.ua/tender/UA-2022-06-07-006394-a"/>
    <hyperlink ref="C35" r:id="rId11" display="https://prozorro.gov.ua/tender/UA-2022-06-09-002320-a"/>
    <hyperlink ref="C30" r:id="rId12" display="https://prozorro.gov.ua/tender/UA-2022-06-23-002141-a"/>
    <hyperlink ref="C33" r:id="rId13" display="https://prozorro.gov.ua/tender/UA-2022-06-16-005707-a"/>
    <hyperlink ref="C24" r:id="rId14" display="https://prozorro.gov.ua/tender/UA-2022-06-15-003675-a"/>
    <hyperlink ref="C31" r:id="rId15" display="https://prozorro.gov.ua/tender/UA-2022-09-06-009534-a"/>
    <hyperlink ref="C29" r:id="rId16" display="https://prozorro.gov.ua/tender/UA-2022-09-14-006362-a"/>
  </hyperlinks>
  <pageMargins left="0" right="0" top="0" bottom="0" header="0" footer="0"/>
  <pageSetup paperSize="9" scale="52" orientation="landscape" verticalDpi="0"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92"/>
  <sheetViews>
    <sheetView view="pageBreakPreview" zoomScale="60" zoomScaleNormal="6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9" sqref="B39"/>
    </sheetView>
  </sheetViews>
  <sheetFormatPr defaultRowHeight="19.5"/>
  <cols>
    <col min="1" max="1" width="3.140625" customWidth="1"/>
    <col min="2" max="2" width="120.5703125" style="317" customWidth="1"/>
    <col min="3" max="3" width="16.42578125" style="318" bestFit="1" customWidth="1"/>
    <col min="4" max="5" width="15" style="317" bestFit="1" customWidth="1"/>
    <col min="6" max="6" width="13.5703125" style="317" bestFit="1" customWidth="1"/>
    <col min="7" max="8" width="15" style="317" bestFit="1" customWidth="1"/>
    <col min="9" max="9" width="13.5703125" style="317" bestFit="1" customWidth="1"/>
    <col min="10" max="11" width="15" style="317" bestFit="1" customWidth="1"/>
    <col min="12" max="12" width="15" style="319" bestFit="1" customWidth="1"/>
    <col min="13" max="13" width="15" style="317" bestFit="1" customWidth="1"/>
    <col min="14" max="14" width="13.5703125" style="317" bestFit="1" customWidth="1"/>
    <col min="15" max="15" width="13.5703125" style="319" bestFit="1" customWidth="1"/>
    <col min="16" max="16" width="17.140625" style="319" customWidth="1"/>
    <col min="18" max="18" width="14.42578125" bestFit="1" customWidth="1"/>
    <col min="19" max="19" width="11" bestFit="1" customWidth="1"/>
  </cols>
  <sheetData>
    <row r="1" spans="2:20">
      <c r="B1" s="308"/>
      <c r="C1" s="309"/>
      <c r="D1" s="310"/>
      <c r="E1" s="310"/>
      <c r="F1" s="310"/>
      <c r="G1" s="310"/>
      <c r="H1" s="310"/>
      <c r="I1" s="310"/>
      <c r="J1" s="310"/>
      <c r="K1" s="310"/>
      <c r="L1" s="311"/>
      <c r="M1" s="310"/>
      <c r="N1" s="310"/>
      <c r="O1" s="311"/>
      <c r="P1" s="310"/>
    </row>
    <row r="2" spans="2:20">
      <c r="B2" s="308" t="s">
        <v>730</v>
      </c>
      <c r="C2" s="309"/>
      <c r="D2" s="308" t="s">
        <v>1282</v>
      </c>
      <c r="E2" s="308" t="s">
        <v>1448</v>
      </c>
      <c r="F2" s="308" t="s">
        <v>1449</v>
      </c>
      <c r="G2" s="308" t="s">
        <v>1450</v>
      </c>
      <c r="H2" s="308" t="s">
        <v>1451</v>
      </c>
      <c r="I2" s="308" t="s">
        <v>1452</v>
      </c>
      <c r="J2" s="308" t="s">
        <v>1283</v>
      </c>
      <c r="K2" s="308" t="s">
        <v>1454</v>
      </c>
      <c r="L2" s="308" t="s">
        <v>1455</v>
      </c>
      <c r="M2" s="308" t="s">
        <v>1456</v>
      </c>
      <c r="N2" s="308" t="s">
        <v>1457</v>
      </c>
      <c r="O2" s="124" t="s">
        <v>1458</v>
      </c>
      <c r="P2" s="308">
        <v>2024</v>
      </c>
    </row>
    <row r="3" spans="2:20" hidden="1">
      <c r="B3" s="312" t="s">
        <v>1287</v>
      </c>
      <c r="C3" s="313"/>
      <c r="D3" s="314">
        <f>SUM(D4:D4)</f>
        <v>0</v>
      </c>
      <c r="E3" s="314">
        <f t="shared" ref="E3:O3" si="0">SUM(E4:E4)</f>
        <v>0</v>
      </c>
      <c r="F3" s="314">
        <f t="shared" si="0"/>
        <v>0</v>
      </c>
      <c r="G3" s="314">
        <f t="shared" si="0"/>
        <v>0</v>
      </c>
      <c r="H3" s="314">
        <f t="shared" si="0"/>
        <v>0</v>
      </c>
      <c r="I3" s="314">
        <f t="shared" si="0"/>
        <v>0</v>
      </c>
      <c r="J3" s="314">
        <f t="shared" si="0"/>
        <v>0</v>
      </c>
      <c r="K3" s="314">
        <f t="shared" si="0"/>
        <v>0</v>
      </c>
      <c r="L3" s="314">
        <f t="shared" si="0"/>
        <v>0</v>
      </c>
      <c r="M3" s="314">
        <f t="shared" si="0"/>
        <v>0</v>
      </c>
      <c r="N3" s="314">
        <f t="shared" si="0"/>
        <v>0</v>
      </c>
      <c r="O3" s="314">
        <f t="shared" si="0"/>
        <v>0</v>
      </c>
      <c r="P3" s="314">
        <f>SUM(P4:P4)</f>
        <v>0</v>
      </c>
    </row>
    <row r="4" spans="2:20" hidden="1">
      <c r="B4" s="308"/>
      <c r="C4" s="309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124"/>
      <c r="P4" s="315">
        <f>SUM(D4:O4)</f>
        <v>0</v>
      </c>
    </row>
    <row r="5" spans="2:20" s="125" customFormat="1">
      <c r="B5" s="862" t="s">
        <v>379</v>
      </c>
      <c r="C5" s="863"/>
      <c r="D5" s="864">
        <f>SUM(D6:D73)</f>
        <v>10000</v>
      </c>
      <c r="E5" s="864">
        <f>SUM(E6:E73)</f>
        <v>56430</v>
      </c>
      <c r="F5" s="864">
        <f t="shared" ref="F5:O5" si="1">SUM(F6:F73)</f>
        <v>38245</v>
      </c>
      <c r="G5" s="864">
        <f t="shared" si="1"/>
        <v>7971.2</v>
      </c>
      <c r="H5" s="864">
        <f t="shared" si="1"/>
        <v>4264</v>
      </c>
      <c r="I5" s="864">
        <f t="shared" si="1"/>
        <v>5141</v>
      </c>
      <c r="J5" s="864">
        <f t="shared" si="1"/>
        <v>9021</v>
      </c>
      <c r="K5" s="864">
        <f t="shared" si="1"/>
        <v>8750</v>
      </c>
      <c r="L5" s="864">
        <f t="shared" si="1"/>
        <v>8584</v>
      </c>
      <c r="M5" s="864">
        <f t="shared" si="1"/>
        <v>8139</v>
      </c>
      <c r="N5" s="864">
        <f>SUM(N6:N73)</f>
        <v>8180</v>
      </c>
      <c r="O5" s="864">
        <f t="shared" si="1"/>
        <v>0</v>
      </c>
      <c r="P5" s="864">
        <f>SUM(P6:P73)</f>
        <v>164725.20000000001</v>
      </c>
      <c r="R5"/>
      <c r="S5"/>
      <c r="T5"/>
    </row>
    <row r="6" spans="2:20" s="125" customFormat="1">
      <c r="B6" s="686" t="s">
        <v>380</v>
      </c>
      <c r="C6" s="684" t="s">
        <v>381</v>
      </c>
      <c r="D6" s="124"/>
      <c r="E6" s="124"/>
      <c r="F6" s="124">
        <f>274</f>
        <v>274</v>
      </c>
      <c r="G6" s="124"/>
      <c r="H6" s="124">
        <f>65</f>
        <v>65</v>
      </c>
      <c r="I6" s="124"/>
      <c r="J6" s="124">
        <f>205</f>
        <v>205</v>
      </c>
      <c r="K6" s="124"/>
      <c r="L6" s="124">
        <f>185</f>
        <v>185</v>
      </c>
      <c r="M6" s="124">
        <f>404+242</f>
        <v>646</v>
      </c>
      <c r="N6" s="124"/>
      <c r="O6" s="687"/>
      <c r="P6" s="687">
        <f t="shared" ref="P6:P73" si="2">SUM(D6:O6)</f>
        <v>1375</v>
      </c>
      <c r="R6"/>
      <c r="S6"/>
      <c r="T6"/>
    </row>
    <row r="7" spans="2:20" s="125" customFormat="1">
      <c r="B7" s="688" t="s">
        <v>382</v>
      </c>
      <c r="C7" s="684" t="s">
        <v>383</v>
      </c>
      <c r="D7" s="124"/>
      <c r="E7" s="124"/>
      <c r="F7" s="124"/>
      <c r="G7" s="124"/>
      <c r="H7" s="124"/>
      <c r="I7" s="124"/>
      <c r="J7" s="124"/>
      <c r="K7" s="124"/>
      <c r="L7" s="124"/>
      <c r="M7" s="124">
        <f>825</f>
        <v>825</v>
      </c>
      <c r="N7" s="124"/>
      <c r="O7" s="687"/>
      <c r="P7" s="687">
        <f t="shared" si="2"/>
        <v>825</v>
      </c>
      <c r="R7"/>
      <c r="S7"/>
      <c r="T7"/>
    </row>
    <row r="8" spans="2:20" s="125" customFormat="1">
      <c r="B8" s="686" t="s">
        <v>384</v>
      </c>
      <c r="C8" s="686" t="s">
        <v>385</v>
      </c>
      <c r="D8" s="124"/>
      <c r="E8" s="124"/>
      <c r="F8" s="124"/>
      <c r="G8" s="124"/>
      <c r="H8" s="124">
        <f>321+100+20+300</f>
        <v>741</v>
      </c>
      <c r="I8" s="124">
        <f>75</f>
        <v>75</v>
      </c>
      <c r="J8" s="124"/>
      <c r="K8" s="687">
        <f>140+120</f>
        <v>260</v>
      </c>
      <c r="L8" s="124"/>
      <c r="M8" s="124">
        <f>180</f>
        <v>180</v>
      </c>
      <c r="N8" s="124"/>
      <c r="O8" s="689"/>
      <c r="P8" s="687">
        <f t="shared" si="2"/>
        <v>1256</v>
      </c>
      <c r="R8"/>
      <c r="S8"/>
      <c r="T8"/>
    </row>
    <row r="9" spans="2:20" s="125" customFormat="1">
      <c r="B9" s="688" t="s">
        <v>386</v>
      </c>
      <c r="C9" s="690" t="s">
        <v>387</v>
      </c>
      <c r="D9" s="124"/>
      <c r="E9" s="124"/>
      <c r="F9" s="124"/>
      <c r="G9" s="124"/>
      <c r="H9" s="124"/>
      <c r="I9" s="124"/>
      <c r="J9" s="124"/>
      <c r="K9" s="687">
        <v>450</v>
      </c>
      <c r="L9" s="124"/>
      <c r="M9" s="124"/>
      <c r="N9" s="124"/>
      <c r="O9" s="689"/>
      <c r="P9" s="687">
        <f t="shared" si="2"/>
        <v>450</v>
      </c>
      <c r="R9"/>
      <c r="S9"/>
      <c r="T9"/>
    </row>
    <row r="10" spans="2:20" s="125" customFormat="1">
      <c r="B10" s="686" t="s">
        <v>388</v>
      </c>
      <c r="C10" s="686" t="s">
        <v>389</v>
      </c>
      <c r="D10" s="124"/>
      <c r="E10" s="124"/>
      <c r="F10" s="124"/>
      <c r="G10" s="124">
        <f>100</f>
        <v>100</v>
      </c>
      <c r="H10" s="124">
        <f>32</f>
        <v>32</v>
      </c>
      <c r="I10" s="124"/>
      <c r="J10" s="124">
        <f>135</f>
        <v>135</v>
      </c>
      <c r="K10" s="687"/>
      <c r="L10" s="124">
        <f>216</f>
        <v>216</v>
      </c>
      <c r="M10" s="124">
        <f>252</f>
        <v>252</v>
      </c>
      <c r="N10" s="124"/>
      <c r="O10" s="689"/>
      <c r="P10" s="687">
        <f t="shared" si="2"/>
        <v>735</v>
      </c>
      <c r="R10"/>
      <c r="S10"/>
      <c r="T10"/>
    </row>
    <row r="11" spans="2:20" s="125" customFormat="1" hidden="1">
      <c r="B11" s="686" t="s">
        <v>390</v>
      </c>
      <c r="C11" s="686" t="s">
        <v>391</v>
      </c>
      <c r="D11" s="124"/>
      <c r="E11" s="124"/>
      <c r="F11" s="124"/>
      <c r="G11" s="124"/>
      <c r="H11" s="124"/>
      <c r="I11" s="124"/>
      <c r="J11" s="124"/>
      <c r="K11" s="687"/>
      <c r="L11" s="124"/>
      <c r="M11" s="124"/>
      <c r="N11" s="124"/>
      <c r="O11" s="689"/>
      <c r="P11" s="687">
        <f t="shared" si="2"/>
        <v>0</v>
      </c>
      <c r="R11"/>
      <c r="S11"/>
      <c r="T11"/>
    </row>
    <row r="12" spans="2:20" s="125" customFormat="1" hidden="1">
      <c r="B12" s="686" t="s">
        <v>392</v>
      </c>
      <c r="C12" s="686" t="s">
        <v>393</v>
      </c>
      <c r="D12" s="124"/>
      <c r="E12" s="124"/>
      <c r="F12" s="124"/>
      <c r="G12" s="124"/>
      <c r="H12" s="124"/>
      <c r="I12" s="124"/>
      <c r="J12" s="124"/>
      <c r="K12" s="687"/>
      <c r="L12" s="124"/>
      <c r="M12" s="124"/>
      <c r="N12" s="124"/>
      <c r="O12" s="689"/>
      <c r="P12" s="687">
        <f t="shared" si="2"/>
        <v>0</v>
      </c>
      <c r="R12"/>
      <c r="S12"/>
      <c r="T12"/>
    </row>
    <row r="13" spans="2:20" s="125" customFormat="1" hidden="1">
      <c r="B13" s="690" t="s">
        <v>394</v>
      </c>
      <c r="C13" s="690" t="s">
        <v>395</v>
      </c>
      <c r="D13" s="124"/>
      <c r="E13" s="124"/>
      <c r="F13" s="124"/>
      <c r="G13" s="124"/>
      <c r="H13" s="124"/>
      <c r="I13" s="124"/>
      <c r="J13" s="124"/>
      <c r="K13" s="687"/>
      <c r="L13" s="124"/>
      <c r="M13" s="124"/>
      <c r="N13" s="124"/>
      <c r="O13" s="689"/>
      <c r="P13" s="687">
        <f t="shared" si="2"/>
        <v>0</v>
      </c>
      <c r="R13"/>
      <c r="S13"/>
      <c r="T13"/>
    </row>
    <row r="14" spans="2:20" s="125" customFormat="1">
      <c r="B14" s="690" t="s">
        <v>396</v>
      </c>
      <c r="C14" s="690" t="s">
        <v>397</v>
      </c>
      <c r="D14" s="124"/>
      <c r="E14" s="124"/>
      <c r="F14" s="124"/>
      <c r="G14" s="124"/>
      <c r="H14" s="124"/>
      <c r="I14" s="124"/>
      <c r="J14" s="124"/>
      <c r="K14" s="687"/>
      <c r="L14" s="124"/>
      <c r="M14" s="124"/>
      <c r="N14" s="124">
        <f>8180</f>
        <v>8180</v>
      </c>
      <c r="O14" s="689"/>
      <c r="P14" s="687">
        <f t="shared" si="2"/>
        <v>8180</v>
      </c>
      <c r="R14"/>
      <c r="S14"/>
      <c r="T14"/>
    </row>
    <row r="15" spans="2:20" s="125" customFormat="1">
      <c r="B15" s="684" t="s">
        <v>400</v>
      </c>
      <c r="C15" s="684" t="s">
        <v>401</v>
      </c>
      <c r="D15" s="124"/>
      <c r="E15" s="124">
        <v>10000</v>
      </c>
      <c r="F15" s="687"/>
      <c r="G15" s="124"/>
      <c r="H15" s="124"/>
      <c r="I15" s="124"/>
      <c r="J15" s="124"/>
      <c r="K15" s="687"/>
      <c r="L15" s="124"/>
      <c r="M15" s="124"/>
      <c r="N15" s="124"/>
      <c r="O15" s="687"/>
      <c r="P15" s="687">
        <f t="shared" si="2"/>
        <v>10000</v>
      </c>
      <c r="R15"/>
      <c r="S15"/>
      <c r="T15"/>
    </row>
    <row r="16" spans="2:20" s="125" customFormat="1">
      <c r="B16" s="690" t="s">
        <v>398</v>
      </c>
      <c r="C16" s="690" t="s">
        <v>399</v>
      </c>
      <c r="D16" s="124"/>
      <c r="E16" s="124"/>
      <c r="F16" s="124">
        <v>2000</v>
      </c>
      <c r="G16" s="124"/>
      <c r="H16" s="124"/>
      <c r="I16" s="124"/>
      <c r="J16" s="124"/>
      <c r="K16" s="687"/>
      <c r="L16" s="124"/>
      <c r="M16" s="124"/>
      <c r="N16" s="124"/>
      <c r="O16" s="689"/>
      <c r="P16" s="687">
        <f t="shared" si="2"/>
        <v>2000</v>
      </c>
      <c r="R16"/>
      <c r="S16"/>
      <c r="T16"/>
    </row>
    <row r="17" spans="2:20" s="125" customFormat="1">
      <c r="B17" s="684" t="s">
        <v>402</v>
      </c>
      <c r="C17" s="684" t="s">
        <v>403</v>
      </c>
      <c r="D17" s="124">
        <v>10000</v>
      </c>
      <c r="E17" s="124">
        <v>20000</v>
      </c>
      <c r="F17" s="124">
        <f>14593</f>
        <v>14593</v>
      </c>
      <c r="G17" s="124">
        <v>6500.2</v>
      </c>
      <c r="H17" s="124"/>
      <c r="I17" s="124"/>
      <c r="J17" s="124"/>
      <c r="K17" s="687"/>
      <c r="L17" s="124"/>
      <c r="M17" s="124"/>
      <c r="N17" s="124"/>
      <c r="O17" s="687"/>
      <c r="P17" s="687">
        <f t="shared" si="2"/>
        <v>51093.2</v>
      </c>
      <c r="R17"/>
      <c r="S17"/>
      <c r="T17"/>
    </row>
    <row r="18" spans="2:20" s="125" customFormat="1">
      <c r="B18" s="684" t="s">
        <v>404</v>
      </c>
      <c r="C18" s="684" t="s">
        <v>405</v>
      </c>
      <c r="D18" s="124"/>
      <c r="E18" s="124">
        <f>16440</f>
        <v>16440</v>
      </c>
      <c r="F18" s="124">
        <f>9980</f>
        <v>9980</v>
      </c>
      <c r="G18" s="124"/>
      <c r="H18" s="124"/>
      <c r="I18" s="124"/>
      <c r="J18" s="124"/>
      <c r="K18" s="687"/>
      <c r="L18" s="124"/>
      <c r="M18" s="124"/>
      <c r="N18" s="124"/>
      <c r="O18" s="687"/>
      <c r="P18" s="687">
        <f t="shared" si="2"/>
        <v>26420</v>
      </c>
      <c r="R18"/>
      <c r="S18"/>
      <c r="T18"/>
    </row>
    <row r="19" spans="2:20" s="125" customFormat="1">
      <c r="B19" s="690" t="s">
        <v>406</v>
      </c>
      <c r="C19" s="690" t="s">
        <v>407</v>
      </c>
      <c r="D19" s="124"/>
      <c r="E19" s="124"/>
      <c r="F19" s="124"/>
      <c r="G19" s="124"/>
      <c r="H19" s="124"/>
      <c r="I19" s="124">
        <f>480</f>
        <v>480</v>
      </c>
      <c r="J19" s="124"/>
      <c r="K19" s="687"/>
      <c r="L19" s="124"/>
      <c r="M19" s="124"/>
      <c r="N19" s="124"/>
      <c r="O19" s="691"/>
      <c r="P19" s="687">
        <f t="shared" si="2"/>
        <v>480</v>
      </c>
      <c r="R19"/>
      <c r="S19"/>
      <c r="T19"/>
    </row>
    <row r="20" spans="2:20" s="125" customFormat="1" hidden="1">
      <c r="B20" s="690" t="s">
        <v>408</v>
      </c>
      <c r="C20" s="690" t="s">
        <v>409</v>
      </c>
      <c r="D20" s="124"/>
      <c r="E20" s="124"/>
      <c r="F20" s="124"/>
      <c r="G20" s="124"/>
      <c r="H20" s="124"/>
      <c r="I20" s="124"/>
      <c r="J20" s="124"/>
      <c r="K20" s="687"/>
      <c r="L20" s="124"/>
      <c r="M20" s="124"/>
      <c r="N20" s="124"/>
      <c r="O20" s="691"/>
      <c r="P20" s="687">
        <f t="shared" si="2"/>
        <v>0</v>
      </c>
      <c r="R20"/>
      <c r="S20"/>
      <c r="T20"/>
    </row>
    <row r="21" spans="2:20" s="125" customFormat="1">
      <c r="B21" s="690" t="s">
        <v>410</v>
      </c>
      <c r="C21" s="690" t="s">
        <v>411</v>
      </c>
      <c r="D21" s="124"/>
      <c r="E21" s="124"/>
      <c r="F21" s="124"/>
      <c r="G21" s="124"/>
      <c r="H21" s="124"/>
      <c r="I21" s="124"/>
      <c r="J21" s="124"/>
      <c r="K21" s="687"/>
      <c r="L21" s="124"/>
      <c r="M21" s="124">
        <f>40</f>
        <v>40</v>
      </c>
      <c r="N21" s="124"/>
      <c r="O21" s="691"/>
      <c r="P21" s="687">
        <f t="shared" si="2"/>
        <v>40</v>
      </c>
      <c r="R21"/>
      <c r="S21"/>
      <c r="T21"/>
    </row>
    <row r="22" spans="2:20" s="125" customFormat="1">
      <c r="B22" s="690" t="s">
        <v>412</v>
      </c>
      <c r="C22" s="690" t="s">
        <v>413</v>
      </c>
      <c r="D22" s="124"/>
      <c r="E22" s="124"/>
      <c r="F22" s="124"/>
      <c r="G22" s="124">
        <f>175</f>
        <v>175</v>
      </c>
      <c r="H22" s="124">
        <v>150</v>
      </c>
      <c r="I22" s="124"/>
      <c r="J22" s="124"/>
      <c r="K22" s="687"/>
      <c r="L22" s="124"/>
      <c r="M22" s="124"/>
      <c r="N22" s="124"/>
      <c r="O22" s="691"/>
      <c r="P22" s="687">
        <f t="shared" si="2"/>
        <v>325</v>
      </c>
      <c r="R22"/>
      <c r="S22"/>
      <c r="T22"/>
    </row>
    <row r="23" spans="2:20" s="125" customFormat="1">
      <c r="B23" s="690" t="s">
        <v>414</v>
      </c>
      <c r="C23" s="690" t="s">
        <v>415</v>
      </c>
      <c r="D23" s="124"/>
      <c r="E23" s="124"/>
      <c r="F23" s="124"/>
      <c r="G23" s="124"/>
      <c r="H23" s="124">
        <f>273</f>
        <v>273</v>
      </c>
      <c r="I23" s="124"/>
      <c r="J23" s="124"/>
      <c r="K23" s="687"/>
      <c r="L23" s="124"/>
      <c r="M23" s="124"/>
      <c r="N23" s="124"/>
      <c r="O23" s="691"/>
      <c r="P23" s="687">
        <f t="shared" si="2"/>
        <v>273</v>
      </c>
      <c r="R23"/>
      <c r="S23"/>
      <c r="T23"/>
    </row>
    <row r="24" spans="2:20" s="125" customFormat="1">
      <c r="B24" s="686" t="s">
        <v>416</v>
      </c>
      <c r="C24" s="686" t="s">
        <v>417</v>
      </c>
      <c r="D24" s="124"/>
      <c r="E24" s="124"/>
      <c r="F24" s="124">
        <f>40</f>
        <v>40</v>
      </c>
      <c r="G24" s="124"/>
      <c r="H24" s="124"/>
      <c r="I24" s="124"/>
      <c r="J24" s="124"/>
      <c r="K24" s="687">
        <v>95</v>
      </c>
      <c r="L24" s="124">
        <f>370+46</f>
        <v>416</v>
      </c>
      <c r="M24" s="124">
        <f>45+275</f>
        <v>320</v>
      </c>
      <c r="N24" s="124"/>
      <c r="O24" s="689"/>
      <c r="P24" s="687">
        <f t="shared" si="2"/>
        <v>871</v>
      </c>
      <c r="R24"/>
      <c r="S24"/>
      <c r="T24"/>
    </row>
    <row r="25" spans="2:20" s="125" customFormat="1">
      <c r="B25" s="690" t="s">
        <v>418</v>
      </c>
      <c r="C25" s="690" t="s">
        <v>419</v>
      </c>
      <c r="D25" s="124"/>
      <c r="E25" s="124"/>
      <c r="F25" s="124"/>
      <c r="G25" s="124"/>
      <c r="H25" s="124"/>
      <c r="I25" s="124">
        <f>550</f>
        <v>550</v>
      </c>
      <c r="J25" s="124">
        <f>550</f>
        <v>550</v>
      </c>
      <c r="K25" s="687"/>
      <c r="L25" s="124"/>
      <c r="M25" s="124"/>
      <c r="N25" s="124"/>
      <c r="O25" s="689"/>
      <c r="P25" s="687">
        <f t="shared" si="2"/>
        <v>1100</v>
      </c>
      <c r="R25"/>
      <c r="S25"/>
      <c r="T25"/>
    </row>
    <row r="26" spans="2:20" s="125" customFormat="1" hidden="1">
      <c r="B26" s="684" t="s">
        <v>534</v>
      </c>
      <c r="C26" s="684" t="s">
        <v>420</v>
      </c>
      <c r="D26" s="124"/>
      <c r="E26" s="124"/>
      <c r="F26" s="687"/>
      <c r="G26" s="124"/>
      <c r="H26" s="124"/>
      <c r="I26" s="124"/>
      <c r="J26" s="124"/>
      <c r="K26" s="687"/>
      <c r="L26" s="124"/>
      <c r="M26" s="124"/>
      <c r="N26" s="124"/>
      <c r="O26" s="687"/>
      <c r="P26" s="687">
        <f t="shared" si="2"/>
        <v>0</v>
      </c>
      <c r="R26"/>
      <c r="S26"/>
      <c r="T26"/>
    </row>
    <row r="27" spans="2:20" s="125" customFormat="1">
      <c r="B27" s="684" t="s">
        <v>427</v>
      </c>
      <c r="C27" s="684" t="s">
        <v>428</v>
      </c>
      <c r="D27" s="687"/>
      <c r="E27" s="124"/>
      <c r="F27" s="687"/>
      <c r="G27" s="124"/>
      <c r="H27" s="124"/>
      <c r="I27" s="124"/>
      <c r="J27" s="124"/>
      <c r="K27" s="687"/>
      <c r="L27" s="124"/>
      <c r="M27" s="124"/>
      <c r="N27" s="124"/>
      <c r="O27" s="124"/>
      <c r="P27" s="687">
        <f t="shared" si="2"/>
        <v>0</v>
      </c>
      <c r="R27"/>
      <c r="S27"/>
      <c r="T27"/>
    </row>
    <row r="28" spans="2:20" s="125" customFormat="1">
      <c r="B28" s="690" t="s">
        <v>425</v>
      </c>
      <c r="C28" s="690" t="s">
        <v>426</v>
      </c>
      <c r="D28" s="124"/>
      <c r="E28" s="124"/>
      <c r="F28" s="687"/>
      <c r="G28" s="124"/>
      <c r="H28" s="124"/>
      <c r="I28" s="124"/>
      <c r="J28" s="124"/>
      <c r="K28" s="687"/>
      <c r="L28" s="124"/>
      <c r="M28" s="124"/>
      <c r="N28" s="124"/>
      <c r="O28" s="687"/>
      <c r="P28" s="687">
        <f t="shared" si="2"/>
        <v>0</v>
      </c>
      <c r="R28"/>
      <c r="S28"/>
      <c r="T28"/>
    </row>
    <row r="29" spans="2:20" s="125" customFormat="1">
      <c r="B29" s="684" t="s">
        <v>421</v>
      </c>
      <c r="C29" s="684" t="s">
        <v>422</v>
      </c>
      <c r="D29" s="124"/>
      <c r="E29" s="124"/>
      <c r="F29" s="687"/>
      <c r="G29" s="124"/>
      <c r="H29" s="124"/>
      <c r="I29" s="124"/>
      <c r="J29" s="124"/>
      <c r="K29" s="687"/>
      <c r="L29" s="124"/>
      <c r="M29" s="124"/>
      <c r="N29" s="124"/>
      <c r="O29" s="687"/>
      <c r="P29" s="687">
        <f t="shared" si="2"/>
        <v>0</v>
      </c>
      <c r="R29"/>
      <c r="S29"/>
      <c r="T29"/>
    </row>
    <row r="30" spans="2:20" s="125" customFormat="1">
      <c r="B30" s="692" t="s">
        <v>423</v>
      </c>
      <c r="C30" s="693" t="s">
        <v>424</v>
      </c>
      <c r="D30" s="124"/>
      <c r="E30" s="124"/>
      <c r="F30" s="687"/>
      <c r="G30" s="124"/>
      <c r="H30" s="124"/>
      <c r="I30" s="124"/>
      <c r="J30" s="124"/>
      <c r="K30" s="687"/>
      <c r="L30" s="124">
        <f>62</f>
        <v>62</v>
      </c>
      <c r="M30" s="124"/>
      <c r="N30" s="124"/>
      <c r="O30" s="687"/>
      <c r="P30" s="687">
        <f t="shared" si="2"/>
        <v>62</v>
      </c>
      <c r="R30"/>
      <c r="S30"/>
      <c r="T30"/>
    </row>
    <row r="31" spans="2:20" s="125" customFormat="1">
      <c r="B31" s="686" t="s">
        <v>429</v>
      </c>
      <c r="C31" s="686" t="s">
        <v>430</v>
      </c>
      <c r="D31" s="124"/>
      <c r="E31" s="124"/>
      <c r="F31" s="124"/>
      <c r="G31" s="124"/>
      <c r="H31" s="124"/>
      <c r="I31" s="124"/>
      <c r="J31" s="124"/>
      <c r="K31" s="687"/>
      <c r="L31" s="124"/>
      <c r="M31" s="124"/>
      <c r="N31" s="124"/>
      <c r="O31" s="689"/>
      <c r="P31" s="687">
        <f t="shared" si="2"/>
        <v>0</v>
      </c>
      <c r="R31"/>
      <c r="S31"/>
      <c r="T31"/>
    </row>
    <row r="32" spans="2:20" s="125" customFormat="1">
      <c r="B32" s="686" t="s">
        <v>431</v>
      </c>
      <c r="C32" s="686" t="s">
        <v>432</v>
      </c>
      <c r="D32" s="124"/>
      <c r="E32" s="124"/>
      <c r="F32" s="124"/>
      <c r="G32" s="124"/>
      <c r="H32" s="124"/>
      <c r="I32" s="124"/>
      <c r="J32" s="124"/>
      <c r="K32" s="687"/>
      <c r="L32" s="124"/>
      <c r="M32" s="124">
        <f>266</f>
        <v>266</v>
      </c>
      <c r="N32" s="124"/>
      <c r="O32" s="689"/>
      <c r="P32" s="687">
        <f t="shared" si="2"/>
        <v>266</v>
      </c>
      <c r="R32"/>
      <c r="S32"/>
      <c r="T32"/>
    </row>
    <row r="33" spans="2:20" s="125" customFormat="1">
      <c r="B33" s="690" t="s">
        <v>447</v>
      </c>
      <c r="C33" s="690" t="s">
        <v>448</v>
      </c>
      <c r="D33" s="124"/>
      <c r="E33" s="124"/>
      <c r="F33" s="124"/>
      <c r="G33" s="124"/>
      <c r="H33" s="124"/>
      <c r="I33" s="124"/>
      <c r="J33" s="124"/>
      <c r="K33" s="687"/>
      <c r="L33" s="124">
        <f>165</f>
        <v>165</v>
      </c>
      <c r="M33" s="124"/>
      <c r="N33" s="124"/>
      <c r="O33" s="689"/>
      <c r="P33" s="687">
        <f t="shared" si="2"/>
        <v>165</v>
      </c>
      <c r="R33"/>
      <c r="S33"/>
      <c r="T33"/>
    </row>
    <row r="34" spans="2:20" s="125" customFormat="1">
      <c r="B34" s="692" t="s">
        <v>433</v>
      </c>
      <c r="C34" s="693" t="s">
        <v>434</v>
      </c>
      <c r="D34" s="124"/>
      <c r="E34" s="124"/>
      <c r="F34" s="124"/>
      <c r="G34" s="124"/>
      <c r="H34" s="124"/>
      <c r="I34" s="124"/>
      <c r="J34" s="124"/>
      <c r="K34" s="687"/>
      <c r="L34" s="124">
        <f>168+1300</f>
        <v>1468</v>
      </c>
      <c r="M34" s="124"/>
      <c r="N34" s="124"/>
      <c r="O34" s="689"/>
      <c r="P34" s="687">
        <f t="shared" si="2"/>
        <v>1468</v>
      </c>
      <c r="R34"/>
      <c r="S34"/>
      <c r="T34"/>
    </row>
    <row r="35" spans="2:20" s="125" customFormat="1">
      <c r="B35" s="690" t="s">
        <v>437</v>
      </c>
      <c r="C35" s="690" t="s">
        <v>438</v>
      </c>
      <c r="D35" s="124"/>
      <c r="E35" s="124"/>
      <c r="F35" s="124">
        <f>625+1750+880</f>
        <v>3255</v>
      </c>
      <c r="G35" s="124"/>
      <c r="H35" s="124"/>
      <c r="I35" s="124"/>
      <c r="J35" s="124"/>
      <c r="K35" s="687"/>
      <c r="L35" s="124">
        <f>795</f>
        <v>795</v>
      </c>
      <c r="M35" s="124"/>
      <c r="N35" s="124"/>
      <c r="O35" s="691"/>
      <c r="P35" s="687">
        <f t="shared" si="2"/>
        <v>4050</v>
      </c>
      <c r="R35"/>
      <c r="S35"/>
      <c r="T35"/>
    </row>
    <row r="36" spans="2:20" s="125" customFormat="1">
      <c r="B36" s="692" t="s">
        <v>435</v>
      </c>
      <c r="C36" s="693" t="s">
        <v>436</v>
      </c>
      <c r="D36" s="124"/>
      <c r="E36" s="124"/>
      <c r="F36" s="124"/>
      <c r="G36" s="124"/>
      <c r="H36" s="124"/>
      <c r="I36" s="124"/>
      <c r="J36" s="124"/>
      <c r="K36" s="687"/>
      <c r="L36" s="124">
        <f>760</f>
        <v>760</v>
      </c>
      <c r="M36" s="124"/>
      <c r="N36" s="124"/>
      <c r="O36" s="689"/>
      <c r="P36" s="687">
        <f t="shared" si="2"/>
        <v>760</v>
      </c>
      <c r="R36"/>
      <c r="S36"/>
      <c r="T36"/>
    </row>
    <row r="37" spans="2:20" s="125" customFormat="1">
      <c r="B37" s="690" t="s">
        <v>439</v>
      </c>
      <c r="C37" s="690" t="s">
        <v>440</v>
      </c>
      <c r="D37" s="124"/>
      <c r="E37" s="124">
        <v>1790</v>
      </c>
      <c r="F37" s="124">
        <f>775</f>
        <v>775</v>
      </c>
      <c r="G37" s="124"/>
      <c r="H37" s="124"/>
      <c r="I37" s="124"/>
      <c r="J37" s="124">
        <f>48</f>
        <v>48</v>
      </c>
      <c r="K37" s="687"/>
      <c r="L37" s="124">
        <f>44+8</f>
        <v>52</v>
      </c>
      <c r="M37" s="124"/>
      <c r="N37" s="124"/>
      <c r="O37" s="691"/>
      <c r="P37" s="687">
        <f t="shared" si="2"/>
        <v>2665</v>
      </c>
      <c r="R37"/>
      <c r="S37"/>
      <c r="T37"/>
    </row>
    <row r="38" spans="2:20" s="125" customFormat="1">
      <c r="B38" s="686" t="s">
        <v>441</v>
      </c>
      <c r="C38" s="686" t="s">
        <v>442</v>
      </c>
      <c r="D38" s="124"/>
      <c r="E38" s="124"/>
      <c r="F38" s="124"/>
      <c r="G38" s="124"/>
      <c r="H38" s="124">
        <f>347</f>
        <v>347</v>
      </c>
      <c r="I38" s="124"/>
      <c r="J38" s="124"/>
      <c r="K38" s="687"/>
      <c r="L38" s="124">
        <v>500</v>
      </c>
      <c r="M38" s="124">
        <f>400</f>
        <v>400</v>
      </c>
      <c r="N38" s="124"/>
      <c r="O38" s="689"/>
      <c r="P38" s="687">
        <f t="shared" si="2"/>
        <v>1247</v>
      </c>
      <c r="R38"/>
      <c r="S38"/>
      <c r="T38"/>
    </row>
    <row r="39" spans="2:20" s="125" customFormat="1">
      <c r="B39" s="690" t="s">
        <v>445</v>
      </c>
      <c r="C39" s="690" t="s">
        <v>446</v>
      </c>
      <c r="D39" s="124"/>
      <c r="E39" s="124"/>
      <c r="F39" s="124"/>
      <c r="G39" s="124"/>
      <c r="H39" s="124"/>
      <c r="I39" s="124"/>
      <c r="J39" s="124"/>
      <c r="K39" s="687"/>
      <c r="L39" s="124"/>
      <c r="M39" s="124"/>
      <c r="N39" s="124"/>
      <c r="O39" s="689"/>
      <c r="P39" s="687">
        <f t="shared" si="2"/>
        <v>0</v>
      </c>
      <c r="R39"/>
      <c r="S39"/>
      <c r="T39"/>
    </row>
    <row r="40" spans="2:20" s="125" customFormat="1" hidden="1">
      <c r="B40" s="690" t="s">
        <v>443</v>
      </c>
      <c r="C40" s="690" t="s">
        <v>444</v>
      </c>
      <c r="D40" s="124"/>
      <c r="E40" s="124"/>
      <c r="F40" s="124"/>
      <c r="G40" s="124"/>
      <c r="H40" s="124"/>
      <c r="I40" s="124"/>
      <c r="J40" s="124"/>
      <c r="K40" s="687"/>
      <c r="L40" s="124"/>
      <c r="M40" s="124"/>
      <c r="N40" s="124"/>
      <c r="O40" s="689"/>
      <c r="P40" s="687">
        <f t="shared" si="2"/>
        <v>0</v>
      </c>
      <c r="R40"/>
      <c r="S40"/>
      <c r="T40"/>
    </row>
    <row r="41" spans="2:20" s="125" customFormat="1">
      <c r="B41" s="690" t="s">
        <v>449</v>
      </c>
      <c r="C41" s="690" t="s">
        <v>450</v>
      </c>
      <c r="D41" s="124"/>
      <c r="E41" s="124"/>
      <c r="F41" s="124"/>
      <c r="G41" s="124"/>
      <c r="H41" s="124"/>
      <c r="I41" s="124"/>
      <c r="J41" s="124"/>
      <c r="K41" s="687"/>
      <c r="L41" s="124"/>
      <c r="M41" s="124"/>
      <c r="N41" s="124"/>
      <c r="O41" s="689"/>
      <c r="P41" s="687">
        <f t="shared" si="2"/>
        <v>0</v>
      </c>
      <c r="R41"/>
      <c r="S41"/>
      <c r="T41"/>
    </row>
    <row r="42" spans="2:20" s="125" customFormat="1">
      <c r="B42" s="690" t="s">
        <v>451</v>
      </c>
      <c r="C42" s="690" t="s">
        <v>452</v>
      </c>
      <c r="D42" s="124"/>
      <c r="E42" s="124"/>
      <c r="F42" s="124"/>
      <c r="G42" s="124"/>
      <c r="H42" s="124"/>
      <c r="I42" s="124"/>
      <c r="J42" s="124"/>
      <c r="K42" s="687"/>
      <c r="L42" s="124"/>
      <c r="M42" s="124"/>
      <c r="N42" s="124">
        <f>8180-8180</f>
        <v>0</v>
      </c>
      <c r="O42" s="689"/>
      <c r="P42" s="687">
        <f t="shared" si="2"/>
        <v>0</v>
      </c>
      <c r="R42"/>
      <c r="S42"/>
      <c r="T42"/>
    </row>
    <row r="43" spans="2:20" s="125" customFormat="1">
      <c r="B43" s="684" t="s">
        <v>455</v>
      </c>
      <c r="C43" s="684" t="s">
        <v>456</v>
      </c>
      <c r="D43" s="124"/>
      <c r="E43" s="124"/>
      <c r="F43" s="124"/>
      <c r="G43" s="124"/>
      <c r="H43" s="124"/>
      <c r="I43" s="124"/>
      <c r="J43" s="124"/>
      <c r="K43" s="687"/>
      <c r="L43" s="124"/>
      <c r="M43" s="124"/>
      <c r="N43" s="124"/>
      <c r="O43" s="689"/>
      <c r="P43" s="687">
        <f t="shared" si="2"/>
        <v>0</v>
      </c>
      <c r="R43"/>
      <c r="S43"/>
      <c r="T43"/>
    </row>
    <row r="44" spans="2:20" s="125" customFormat="1">
      <c r="B44" s="690" t="s">
        <v>453</v>
      </c>
      <c r="C44" s="690" t="s">
        <v>454</v>
      </c>
      <c r="D44" s="124"/>
      <c r="E44" s="124"/>
      <c r="F44" s="124"/>
      <c r="G44" s="124"/>
      <c r="H44" s="124"/>
      <c r="I44" s="124">
        <f>120</f>
        <v>120</v>
      </c>
      <c r="J44" s="124"/>
      <c r="K44" s="687"/>
      <c r="L44" s="124"/>
      <c r="M44" s="124"/>
      <c r="N44" s="124"/>
      <c r="O44" s="689"/>
      <c r="P44" s="687">
        <f t="shared" si="2"/>
        <v>120</v>
      </c>
      <c r="R44"/>
      <c r="S44"/>
      <c r="T44"/>
    </row>
    <row r="45" spans="2:20" s="125" customFormat="1">
      <c r="B45" s="688" t="s">
        <v>457</v>
      </c>
      <c r="C45" s="690" t="s">
        <v>458</v>
      </c>
      <c r="D45" s="124"/>
      <c r="E45" s="124"/>
      <c r="F45" s="124"/>
      <c r="G45" s="124"/>
      <c r="H45" s="124"/>
      <c r="I45" s="124"/>
      <c r="J45" s="124">
        <f>2800</f>
        <v>2800</v>
      </c>
      <c r="K45" s="687">
        <f>4450</f>
        <v>4450</v>
      </c>
      <c r="L45" s="124"/>
      <c r="M45" s="124"/>
      <c r="N45" s="124"/>
      <c r="O45" s="689"/>
      <c r="P45" s="687">
        <f t="shared" si="2"/>
        <v>7250</v>
      </c>
      <c r="R45"/>
      <c r="S45"/>
      <c r="T45"/>
    </row>
    <row r="46" spans="2:20" s="125" customFormat="1" hidden="1">
      <c r="B46" s="688" t="s">
        <v>459</v>
      </c>
      <c r="C46" s="688" t="s">
        <v>460</v>
      </c>
      <c r="D46" s="124"/>
      <c r="E46" s="124"/>
      <c r="F46" s="124"/>
      <c r="G46" s="124"/>
      <c r="H46" s="124"/>
      <c r="I46" s="124"/>
      <c r="J46" s="124"/>
      <c r="K46" s="687"/>
      <c r="L46" s="124"/>
      <c r="M46" s="124"/>
      <c r="N46" s="124"/>
      <c r="O46" s="689"/>
      <c r="P46" s="687">
        <f t="shared" si="2"/>
        <v>0</v>
      </c>
      <c r="R46"/>
      <c r="S46"/>
      <c r="T46"/>
    </row>
    <row r="47" spans="2:20" s="125" customFormat="1" hidden="1">
      <c r="B47" s="126" t="s">
        <v>461</v>
      </c>
      <c r="C47" s="684" t="s">
        <v>462</v>
      </c>
      <c r="D47" s="124"/>
      <c r="E47" s="124"/>
      <c r="F47" s="124"/>
      <c r="G47" s="124"/>
      <c r="H47" s="124"/>
      <c r="I47" s="124"/>
      <c r="J47" s="124"/>
      <c r="K47" s="687"/>
      <c r="L47" s="124"/>
      <c r="M47" s="124"/>
      <c r="N47" s="124"/>
      <c r="O47" s="689"/>
      <c r="P47" s="687">
        <f t="shared" si="2"/>
        <v>0</v>
      </c>
      <c r="R47"/>
      <c r="S47"/>
      <c r="T47"/>
    </row>
    <row r="48" spans="2:20" s="125" customFormat="1" hidden="1">
      <c r="B48" s="126" t="s">
        <v>463</v>
      </c>
      <c r="C48" s="684" t="s">
        <v>464</v>
      </c>
      <c r="D48" s="124"/>
      <c r="E48" s="124"/>
      <c r="F48" s="124"/>
      <c r="G48" s="124"/>
      <c r="H48" s="124"/>
      <c r="I48" s="124"/>
      <c r="J48" s="124"/>
      <c r="K48" s="687"/>
      <c r="L48" s="124"/>
      <c r="M48" s="124"/>
      <c r="N48" s="124"/>
      <c r="O48" s="689"/>
      <c r="P48" s="687">
        <f t="shared" si="2"/>
        <v>0</v>
      </c>
      <c r="R48"/>
      <c r="S48"/>
      <c r="T48"/>
    </row>
    <row r="49" spans="2:16" s="125" customFormat="1" ht="39">
      <c r="B49" s="694" t="s">
        <v>467</v>
      </c>
      <c r="C49" s="686" t="s">
        <v>468</v>
      </c>
      <c r="D49" s="124"/>
      <c r="E49" s="124"/>
      <c r="F49" s="124">
        <f>107+(860-860)+428+75+85</f>
        <v>695</v>
      </c>
      <c r="G49" s="124"/>
      <c r="H49" s="124">
        <f>37+160+80</f>
        <v>277</v>
      </c>
      <c r="I49" s="124">
        <f>380+750+20+80</f>
        <v>1230</v>
      </c>
      <c r="J49" s="124">
        <f>262+302+532+1288</f>
        <v>2384</v>
      </c>
      <c r="K49" s="687"/>
      <c r="L49" s="124"/>
      <c r="M49" s="124">
        <v>200</v>
      </c>
      <c r="N49" s="124"/>
      <c r="O49" s="689"/>
      <c r="P49" s="687">
        <f t="shared" si="2"/>
        <v>4786</v>
      </c>
    </row>
    <row r="50" spans="2:16" s="125" customFormat="1">
      <c r="B50" s="692" t="s">
        <v>465</v>
      </c>
      <c r="C50" s="693" t="s">
        <v>466</v>
      </c>
      <c r="D50" s="124"/>
      <c r="E50" s="124"/>
      <c r="F50" s="124"/>
      <c r="G50" s="124"/>
      <c r="H50" s="124"/>
      <c r="I50" s="124"/>
      <c r="J50" s="124"/>
      <c r="K50" s="687"/>
      <c r="L50" s="124">
        <v>45</v>
      </c>
      <c r="M50" s="124"/>
      <c r="N50" s="124"/>
      <c r="O50" s="689"/>
      <c r="P50" s="687">
        <f t="shared" si="2"/>
        <v>45</v>
      </c>
    </row>
    <row r="51" spans="2:16" s="125" customFormat="1" hidden="1">
      <c r="B51" s="692" t="s">
        <v>527</v>
      </c>
      <c r="C51" s="693" t="s">
        <v>469</v>
      </c>
      <c r="D51" s="124"/>
      <c r="E51" s="124"/>
      <c r="F51" s="124"/>
      <c r="G51" s="124"/>
      <c r="H51" s="124"/>
      <c r="I51" s="124"/>
      <c r="J51" s="124"/>
      <c r="K51" s="687"/>
      <c r="L51" s="124"/>
      <c r="M51" s="124"/>
      <c r="N51" s="124"/>
      <c r="O51" s="689"/>
      <c r="P51" s="687">
        <f t="shared" si="2"/>
        <v>0</v>
      </c>
    </row>
    <row r="52" spans="2:16" s="125" customFormat="1" hidden="1">
      <c r="B52" s="686" t="s">
        <v>470</v>
      </c>
      <c r="C52" s="684" t="s">
        <v>471</v>
      </c>
      <c r="D52" s="124"/>
      <c r="E52" s="124"/>
      <c r="F52" s="124"/>
      <c r="G52" s="124"/>
      <c r="H52" s="124"/>
      <c r="I52" s="124"/>
      <c r="J52" s="124"/>
      <c r="K52" s="687"/>
      <c r="L52" s="124"/>
      <c r="M52" s="124"/>
      <c r="N52" s="124"/>
      <c r="O52" s="687"/>
      <c r="P52" s="687">
        <f t="shared" si="2"/>
        <v>0</v>
      </c>
    </row>
    <row r="53" spans="2:16" s="125" customFormat="1">
      <c r="B53" s="693" t="s">
        <v>472</v>
      </c>
      <c r="C53" s="690" t="s">
        <v>473</v>
      </c>
      <c r="D53" s="124"/>
      <c r="E53" s="124"/>
      <c r="F53" s="124"/>
      <c r="G53" s="124"/>
      <c r="H53" s="124"/>
      <c r="I53" s="124"/>
      <c r="J53" s="124"/>
      <c r="K53" s="687"/>
      <c r="L53" s="124"/>
      <c r="M53" s="124"/>
      <c r="N53" s="124"/>
      <c r="O53" s="691"/>
      <c r="P53" s="687">
        <f t="shared" si="2"/>
        <v>0</v>
      </c>
    </row>
    <row r="54" spans="2:16" s="125" customFormat="1">
      <c r="B54" s="690" t="s">
        <v>474</v>
      </c>
      <c r="C54" s="690" t="s">
        <v>475</v>
      </c>
      <c r="D54" s="124"/>
      <c r="E54" s="124"/>
      <c r="F54" s="124"/>
      <c r="G54" s="124"/>
      <c r="H54" s="124"/>
      <c r="I54" s="124"/>
      <c r="J54" s="124"/>
      <c r="K54" s="687"/>
      <c r="L54" s="124"/>
      <c r="M54" s="124"/>
      <c r="N54" s="124"/>
      <c r="O54" s="691"/>
      <c r="P54" s="687">
        <f t="shared" si="2"/>
        <v>0</v>
      </c>
    </row>
    <row r="55" spans="2:16" s="125" customFormat="1">
      <c r="B55" s="126" t="s">
        <v>476</v>
      </c>
      <c r="C55" s="684" t="s">
        <v>477</v>
      </c>
      <c r="D55" s="124"/>
      <c r="E55" s="124"/>
      <c r="F55" s="124"/>
      <c r="G55" s="124"/>
      <c r="H55" s="124">
        <f>169</f>
        <v>169</v>
      </c>
      <c r="I55" s="124"/>
      <c r="J55" s="124"/>
      <c r="K55" s="687"/>
      <c r="L55" s="124"/>
      <c r="M55" s="124"/>
      <c r="N55" s="124"/>
      <c r="O55" s="687"/>
      <c r="P55" s="687">
        <f t="shared" si="2"/>
        <v>169</v>
      </c>
    </row>
    <row r="56" spans="2:16" s="125" customFormat="1">
      <c r="B56" s="693" t="s">
        <v>478</v>
      </c>
      <c r="C56" s="684" t="s">
        <v>479</v>
      </c>
      <c r="D56" s="124"/>
      <c r="E56" s="124"/>
      <c r="F56" s="124">
        <f>649</f>
        <v>649</v>
      </c>
      <c r="G56" s="124"/>
      <c r="H56" s="124">
        <f>450</f>
        <v>450</v>
      </c>
      <c r="I56" s="124">
        <f>1595</f>
        <v>1595</v>
      </c>
      <c r="J56" s="124"/>
      <c r="K56" s="687"/>
      <c r="L56" s="124"/>
      <c r="M56" s="124">
        <f>2730</f>
        <v>2730</v>
      </c>
      <c r="N56" s="124"/>
      <c r="O56" s="687"/>
      <c r="P56" s="687">
        <f t="shared" si="2"/>
        <v>5424</v>
      </c>
    </row>
    <row r="57" spans="2:16" s="125" customFormat="1">
      <c r="B57" s="690" t="s">
        <v>481</v>
      </c>
      <c r="C57" s="690" t="s">
        <v>482</v>
      </c>
      <c r="D57" s="124"/>
      <c r="E57" s="124"/>
      <c r="F57" s="124"/>
      <c r="G57" s="124"/>
      <c r="H57" s="124"/>
      <c r="I57" s="124"/>
      <c r="J57" s="124"/>
      <c r="K57" s="687"/>
      <c r="L57" s="124"/>
      <c r="M57" s="124"/>
      <c r="N57" s="124"/>
      <c r="O57" s="691"/>
      <c r="P57" s="687">
        <f t="shared" si="2"/>
        <v>0</v>
      </c>
    </row>
    <row r="58" spans="2:16" s="125" customFormat="1" hidden="1">
      <c r="B58" s="690" t="s">
        <v>483</v>
      </c>
      <c r="C58" s="690" t="s">
        <v>484</v>
      </c>
      <c r="D58" s="124"/>
      <c r="E58" s="124"/>
      <c r="F58" s="124"/>
      <c r="G58" s="124"/>
      <c r="H58" s="124"/>
      <c r="I58" s="124"/>
      <c r="J58" s="124"/>
      <c r="K58" s="687"/>
      <c r="L58" s="124"/>
      <c r="M58" s="124"/>
      <c r="N58" s="124"/>
      <c r="O58" s="691"/>
      <c r="P58" s="687">
        <f t="shared" si="2"/>
        <v>0</v>
      </c>
    </row>
    <row r="59" spans="2:16" s="125" customFormat="1" ht="39">
      <c r="B59" s="693" t="s">
        <v>485</v>
      </c>
      <c r="C59" s="690" t="s">
        <v>486</v>
      </c>
      <c r="D59" s="124"/>
      <c r="E59" s="124"/>
      <c r="F59" s="124"/>
      <c r="G59" s="124"/>
      <c r="H59" s="124"/>
      <c r="I59" s="124"/>
      <c r="J59" s="124"/>
      <c r="K59" s="687"/>
      <c r="L59" s="124"/>
      <c r="M59" s="124"/>
      <c r="N59" s="124"/>
      <c r="O59" s="691"/>
      <c r="P59" s="687">
        <f t="shared" si="2"/>
        <v>0</v>
      </c>
    </row>
    <row r="60" spans="2:16" s="125" customFormat="1" hidden="1">
      <c r="B60" s="690" t="s">
        <v>528</v>
      </c>
      <c r="C60" s="690" t="s">
        <v>480</v>
      </c>
      <c r="D60" s="124"/>
      <c r="E60" s="124"/>
      <c r="F60" s="124"/>
      <c r="G60" s="124"/>
      <c r="H60" s="124"/>
      <c r="I60" s="124"/>
      <c r="J60" s="124"/>
      <c r="K60" s="687"/>
      <c r="L60" s="124"/>
      <c r="M60" s="124"/>
      <c r="N60" s="124"/>
      <c r="O60" s="687"/>
      <c r="P60" s="687">
        <f t="shared" si="2"/>
        <v>0</v>
      </c>
    </row>
    <row r="61" spans="2:16" s="125" customFormat="1" hidden="1">
      <c r="B61" s="690" t="s">
        <v>487</v>
      </c>
      <c r="C61" s="690" t="s">
        <v>488</v>
      </c>
      <c r="D61" s="124"/>
      <c r="E61" s="124"/>
      <c r="F61" s="124"/>
      <c r="G61" s="124"/>
      <c r="H61" s="124"/>
      <c r="I61" s="124"/>
      <c r="J61" s="124"/>
      <c r="K61" s="687"/>
      <c r="L61" s="124"/>
      <c r="M61" s="124"/>
      <c r="N61" s="124"/>
      <c r="O61" s="691"/>
      <c r="P61" s="687">
        <f t="shared" si="2"/>
        <v>0</v>
      </c>
    </row>
    <row r="62" spans="2:16" s="125" customFormat="1">
      <c r="B62" s="690" t="s">
        <v>489</v>
      </c>
      <c r="C62" s="690" t="s">
        <v>490</v>
      </c>
      <c r="D62" s="124"/>
      <c r="E62" s="124">
        <f>5040+850</f>
        <v>5890</v>
      </c>
      <c r="F62" s="124">
        <f>698</f>
        <v>698</v>
      </c>
      <c r="G62" s="124"/>
      <c r="H62" s="124"/>
      <c r="I62" s="124"/>
      <c r="J62" s="124"/>
      <c r="K62" s="687"/>
      <c r="L62" s="124"/>
      <c r="M62" s="124"/>
      <c r="N62" s="124"/>
      <c r="O62" s="691"/>
      <c r="P62" s="687">
        <f t="shared" si="2"/>
        <v>6588</v>
      </c>
    </row>
    <row r="63" spans="2:16" s="125" customFormat="1">
      <c r="B63" s="690" t="s">
        <v>491</v>
      </c>
      <c r="C63" s="690" t="s">
        <v>492</v>
      </c>
      <c r="D63" s="124"/>
      <c r="E63" s="124">
        <v>1138</v>
      </c>
      <c r="F63" s="124">
        <f>110</f>
        <v>110</v>
      </c>
      <c r="G63" s="124">
        <f>45</f>
        <v>45</v>
      </c>
      <c r="H63" s="124"/>
      <c r="I63" s="124"/>
      <c r="J63" s="124">
        <f>23</f>
        <v>23</v>
      </c>
      <c r="K63" s="687">
        <f>730</f>
        <v>730</v>
      </c>
      <c r="L63" s="124">
        <f>130</f>
        <v>130</v>
      </c>
      <c r="M63" s="124"/>
      <c r="N63" s="124"/>
      <c r="O63" s="687"/>
      <c r="P63" s="687">
        <f t="shared" si="2"/>
        <v>2176</v>
      </c>
    </row>
    <row r="64" spans="2:16" s="125" customFormat="1">
      <c r="B64" s="695" t="s">
        <v>493</v>
      </c>
      <c r="C64" s="690" t="s">
        <v>494</v>
      </c>
      <c r="D64" s="124"/>
      <c r="E64" s="124"/>
      <c r="F64" s="124"/>
      <c r="G64" s="124"/>
      <c r="H64" s="124"/>
      <c r="I64" s="124"/>
      <c r="J64" s="124"/>
      <c r="K64" s="687"/>
      <c r="L64" s="124">
        <f>2520</f>
        <v>2520</v>
      </c>
      <c r="M64" s="124">
        <f>115</f>
        <v>115</v>
      </c>
      <c r="N64" s="124"/>
      <c r="O64" s="687"/>
      <c r="P64" s="687">
        <f t="shared" si="2"/>
        <v>2635</v>
      </c>
    </row>
    <row r="65" spans="2:20" s="125" customFormat="1">
      <c r="B65" s="690" t="s">
        <v>495</v>
      </c>
      <c r="C65" s="690" t="s">
        <v>496</v>
      </c>
      <c r="D65" s="124"/>
      <c r="E65" s="124"/>
      <c r="F65" s="124"/>
      <c r="G65" s="124"/>
      <c r="H65" s="124"/>
      <c r="I65" s="124"/>
      <c r="J65" s="124"/>
      <c r="K65" s="687"/>
      <c r="L65" s="124">
        <f>65</f>
        <v>65</v>
      </c>
      <c r="M65" s="124">
        <f>65</f>
        <v>65</v>
      </c>
      <c r="N65" s="124"/>
      <c r="O65" s="691"/>
      <c r="P65" s="687">
        <f t="shared" si="2"/>
        <v>130</v>
      </c>
    </row>
    <row r="66" spans="2:20" s="125" customFormat="1">
      <c r="B66" s="690" t="s">
        <v>497</v>
      </c>
      <c r="C66" s="690" t="s">
        <v>498</v>
      </c>
      <c r="D66" s="124"/>
      <c r="E66" s="124"/>
      <c r="F66" s="124">
        <f>160</f>
        <v>160</v>
      </c>
      <c r="G66" s="124"/>
      <c r="H66" s="124"/>
      <c r="I66" s="124"/>
      <c r="J66" s="124"/>
      <c r="K66" s="687">
        <f>705</f>
        <v>705</v>
      </c>
      <c r="L66" s="124"/>
      <c r="M66" s="124"/>
      <c r="N66" s="124"/>
      <c r="O66" s="687"/>
      <c r="P66" s="687">
        <f t="shared" si="2"/>
        <v>865</v>
      </c>
    </row>
    <row r="67" spans="2:20" s="125" customFormat="1" hidden="1">
      <c r="B67" s="693" t="s">
        <v>499</v>
      </c>
      <c r="C67" s="693" t="s">
        <v>500</v>
      </c>
      <c r="D67" s="124"/>
      <c r="E67" s="124"/>
      <c r="F67" s="124"/>
      <c r="G67" s="124"/>
      <c r="H67" s="124"/>
      <c r="I67" s="124"/>
      <c r="J67" s="124"/>
      <c r="K67" s="687"/>
      <c r="L67" s="124"/>
      <c r="M67" s="124"/>
      <c r="N67" s="124"/>
      <c r="O67" s="687"/>
      <c r="P67" s="687">
        <f t="shared" si="2"/>
        <v>0</v>
      </c>
    </row>
    <row r="68" spans="2:20" s="125" customFormat="1">
      <c r="B68" s="693" t="s">
        <v>501</v>
      </c>
      <c r="C68" s="693" t="s">
        <v>502</v>
      </c>
      <c r="D68" s="124"/>
      <c r="E68" s="124"/>
      <c r="F68" s="124"/>
      <c r="G68" s="124"/>
      <c r="H68" s="124"/>
      <c r="I68" s="124"/>
      <c r="J68" s="124"/>
      <c r="K68" s="687"/>
      <c r="L68" s="124"/>
      <c r="M68" s="124"/>
      <c r="N68" s="124"/>
      <c r="O68" s="687"/>
      <c r="P68" s="687">
        <f t="shared" si="2"/>
        <v>0</v>
      </c>
    </row>
    <row r="69" spans="2:20" s="125" customFormat="1">
      <c r="B69" s="688" t="s">
        <v>503</v>
      </c>
      <c r="C69" s="688" t="s">
        <v>504</v>
      </c>
      <c r="D69" s="124"/>
      <c r="E69" s="124"/>
      <c r="F69" s="124"/>
      <c r="G69" s="124"/>
      <c r="H69" s="124"/>
      <c r="I69" s="124"/>
      <c r="J69" s="124"/>
      <c r="K69" s="687"/>
      <c r="L69" s="124"/>
      <c r="M69" s="124">
        <f>40+160</f>
        <v>200</v>
      </c>
      <c r="N69" s="124"/>
      <c r="O69" s="687"/>
      <c r="P69" s="687">
        <f>SUM(D69:O69)</f>
        <v>200</v>
      </c>
    </row>
    <row r="70" spans="2:20" s="125" customFormat="1">
      <c r="B70" s="690" t="s">
        <v>505</v>
      </c>
      <c r="C70" s="690" t="s">
        <v>506</v>
      </c>
      <c r="D70" s="124"/>
      <c r="E70" s="124">
        <v>1140</v>
      </c>
      <c r="F70" s="124">
        <f>4200</f>
        <v>4200</v>
      </c>
      <c r="G70" s="124"/>
      <c r="H70" s="124">
        <f>790</f>
        <v>790</v>
      </c>
      <c r="I70" s="124">
        <f>260</f>
        <v>260</v>
      </c>
      <c r="J70" s="124">
        <f>330+56+1250</f>
        <v>1636</v>
      </c>
      <c r="K70" s="687"/>
      <c r="L70" s="124"/>
      <c r="M70" s="124"/>
      <c r="N70" s="124"/>
      <c r="O70" s="687"/>
      <c r="P70" s="687">
        <f t="shared" si="2"/>
        <v>8026</v>
      </c>
    </row>
    <row r="71" spans="2:20" s="125" customFormat="1">
      <c r="B71" s="686" t="s">
        <v>507</v>
      </c>
      <c r="C71" s="686" t="s">
        <v>508</v>
      </c>
      <c r="D71" s="124"/>
      <c r="E71" s="124"/>
      <c r="F71" s="124">
        <f>345</f>
        <v>345</v>
      </c>
      <c r="G71" s="124">
        <v>680</v>
      </c>
      <c r="H71" s="124">
        <f>30+96+85+150+320+161</f>
        <v>842</v>
      </c>
      <c r="I71" s="124">
        <f>543</f>
        <v>543</v>
      </c>
      <c r="J71" s="124"/>
      <c r="K71" s="687"/>
      <c r="L71" s="124">
        <f>34+483</f>
        <v>517</v>
      </c>
      <c r="M71" s="124">
        <f>635</f>
        <v>635</v>
      </c>
      <c r="N71" s="124"/>
      <c r="O71" s="689"/>
      <c r="P71" s="687">
        <f t="shared" si="2"/>
        <v>3562</v>
      </c>
    </row>
    <row r="72" spans="2:20" s="125" customFormat="1">
      <c r="B72" s="686" t="s">
        <v>509</v>
      </c>
      <c r="C72" s="686" t="s">
        <v>510</v>
      </c>
      <c r="D72" s="124"/>
      <c r="E72" s="124"/>
      <c r="F72" s="124">
        <f>212</f>
        <v>212</v>
      </c>
      <c r="G72" s="124">
        <f>110+75</f>
        <v>185</v>
      </c>
      <c r="H72" s="124"/>
      <c r="I72" s="124">
        <f>251</f>
        <v>251</v>
      </c>
      <c r="J72" s="124">
        <f>800+400</f>
        <v>1200</v>
      </c>
      <c r="K72" s="687">
        <f>1995</f>
        <v>1995</v>
      </c>
      <c r="L72" s="124">
        <f>210+206</f>
        <v>416</v>
      </c>
      <c r="M72" s="124">
        <f>647</f>
        <v>647</v>
      </c>
      <c r="N72" s="124"/>
      <c r="O72" s="689"/>
      <c r="P72" s="687">
        <f t="shared" si="2"/>
        <v>4906</v>
      </c>
    </row>
    <row r="73" spans="2:20" s="125" customFormat="1">
      <c r="B73" s="686" t="s">
        <v>511</v>
      </c>
      <c r="C73" s="686" t="s">
        <v>512</v>
      </c>
      <c r="D73" s="124"/>
      <c r="E73" s="124">
        <v>32</v>
      </c>
      <c r="F73" s="124">
        <f>50+209</f>
        <v>259</v>
      </c>
      <c r="G73" s="124">
        <f>286</f>
        <v>286</v>
      </c>
      <c r="H73" s="124">
        <f>128</f>
        <v>128</v>
      </c>
      <c r="I73" s="124">
        <v>37</v>
      </c>
      <c r="J73" s="124">
        <v>40</v>
      </c>
      <c r="K73" s="687">
        <f>45+20</f>
        <v>65</v>
      </c>
      <c r="L73" s="124">
        <f>122+150</f>
        <v>272</v>
      </c>
      <c r="M73" s="124">
        <v>618</v>
      </c>
      <c r="N73" s="124"/>
      <c r="O73" s="689"/>
      <c r="P73" s="687">
        <f t="shared" si="2"/>
        <v>1737</v>
      </c>
    </row>
    <row r="74" spans="2:20" s="613" customFormat="1">
      <c r="B74" s="862" t="s">
        <v>1288</v>
      </c>
      <c r="C74" s="863"/>
      <c r="D74" s="864">
        <f>SUM(D75:D78)</f>
        <v>3000</v>
      </c>
      <c r="E74" s="864">
        <f>SUM(E75:E78)</f>
        <v>0</v>
      </c>
      <c r="F74" s="864">
        <f>SUM(F75:F78)</f>
        <v>0</v>
      </c>
      <c r="G74" s="864">
        <f>SUM(G75:G78)</f>
        <v>73</v>
      </c>
      <c r="H74" s="864">
        <f t="shared" ref="H74:O74" si="3">SUM(H75:H78)</f>
        <v>176</v>
      </c>
      <c r="I74" s="864">
        <f>SUM(I75:I78)</f>
        <v>327</v>
      </c>
      <c r="J74" s="864">
        <f t="shared" si="3"/>
        <v>0</v>
      </c>
      <c r="K74" s="864">
        <f t="shared" si="3"/>
        <v>0</v>
      </c>
      <c r="L74" s="864">
        <f t="shared" si="3"/>
        <v>2815</v>
      </c>
      <c r="M74" s="864">
        <f t="shared" si="3"/>
        <v>1446</v>
      </c>
      <c r="N74" s="864">
        <f>SUM(N75:N78)</f>
        <v>163</v>
      </c>
      <c r="O74" s="864">
        <f t="shared" si="3"/>
        <v>0</v>
      </c>
      <c r="P74" s="864">
        <f>SUM(P75:P78)</f>
        <v>8000</v>
      </c>
    </row>
    <row r="75" spans="2:20" s="125" customFormat="1">
      <c r="B75" s="690" t="s">
        <v>513</v>
      </c>
      <c r="C75" s="690" t="s">
        <v>514</v>
      </c>
      <c r="D75" s="124">
        <v>3000</v>
      </c>
      <c r="E75" s="124"/>
      <c r="F75" s="124"/>
      <c r="G75" s="687">
        <f>73</f>
        <v>73</v>
      </c>
      <c r="H75" s="124">
        <f>102</f>
        <v>102</v>
      </c>
      <c r="I75" s="124">
        <f>250</f>
        <v>250</v>
      </c>
      <c r="J75" s="124"/>
      <c r="K75" s="124"/>
      <c r="L75" s="124">
        <f>360+290</f>
        <v>650</v>
      </c>
      <c r="M75" s="124">
        <f>348+55+290</f>
        <v>693</v>
      </c>
      <c r="N75" s="124"/>
      <c r="O75" s="124"/>
      <c r="P75" s="687">
        <f>SUM(D75:O75)</f>
        <v>4768</v>
      </c>
    </row>
    <row r="76" spans="2:20" s="125" customFormat="1">
      <c r="B76" s="690" t="s">
        <v>515</v>
      </c>
      <c r="C76" s="690" t="s">
        <v>516</v>
      </c>
      <c r="D76" s="124"/>
      <c r="E76" s="124"/>
      <c r="F76" s="124"/>
      <c r="G76" s="687"/>
      <c r="H76" s="124"/>
      <c r="I76" s="124"/>
      <c r="J76" s="124"/>
      <c r="K76" s="124"/>
      <c r="L76" s="124">
        <f>195+655+110+400+485+280</f>
        <v>2125</v>
      </c>
      <c r="M76" s="124">
        <f>753</f>
        <v>753</v>
      </c>
      <c r="N76" s="124"/>
      <c r="O76" s="124"/>
      <c r="P76" s="687">
        <f>SUM(D76:O76)</f>
        <v>2878</v>
      </c>
    </row>
    <row r="77" spans="2:20" s="125" customFormat="1">
      <c r="B77" s="690" t="s">
        <v>517</v>
      </c>
      <c r="C77" s="690" t="s">
        <v>518</v>
      </c>
      <c r="D77" s="124"/>
      <c r="E77" s="124"/>
      <c r="F77" s="124"/>
      <c r="G77" s="687"/>
      <c r="H77" s="124"/>
      <c r="I77" s="124">
        <f>77</f>
        <v>77</v>
      </c>
      <c r="J77" s="124"/>
      <c r="K77" s="124"/>
      <c r="L77" s="124">
        <f>40</f>
        <v>40</v>
      </c>
      <c r="M77" s="124"/>
      <c r="N77" s="124"/>
      <c r="O77" s="124"/>
      <c r="P77" s="687">
        <f>SUM(D77:O77)</f>
        <v>117</v>
      </c>
    </row>
    <row r="78" spans="2:20" s="125" customFormat="1">
      <c r="B78" s="686" t="s">
        <v>519</v>
      </c>
      <c r="C78" s="686" t="s">
        <v>520</v>
      </c>
      <c r="D78" s="124"/>
      <c r="E78" s="124"/>
      <c r="F78" s="124"/>
      <c r="G78" s="124"/>
      <c r="H78" s="124">
        <f>74</f>
        <v>74</v>
      </c>
      <c r="I78" s="124"/>
      <c r="J78" s="124"/>
      <c r="K78" s="124"/>
      <c r="L78" s="124"/>
      <c r="M78" s="124"/>
      <c r="N78" s="124">
        <f>5000-4837</f>
        <v>163</v>
      </c>
      <c r="O78" s="689"/>
      <c r="P78" s="687">
        <f>SUM(D78:O78)</f>
        <v>237</v>
      </c>
    </row>
    <row r="79" spans="2:20" s="613" customFormat="1">
      <c r="B79" s="862" t="s">
        <v>1289</v>
      </c>
      <c r="C79" s="863"/>
      <c r="D79" s="864">
        <f>D81+D80</f>
        <v>165000</v>
      </c>
      <c r="E79" s="864">
        <f t="shared" ref="E79:O79" si="4">E81+E80</f>
        <v>2000</v>
      </c>
      <c r="F79" s="864">
        <f t="shared" si="4"/>
        <v>0</v>
      </c>
      <c r="G79" s="864">
        <f t="shared" si="4"/>
        <v>0</v>
      </c>
      <c r="H79" s="864">
        <f t="shared" si="4"/>
        <v>165000</v>
      </c>
      <c r="I79" s="864">
        <f t="shared" si="4"/>
        <v>0</v>
      </c>
      <c r="J79" s="864">
        <f t="shared" si="4"/>
        <v>0</v>
      </c>
      <c r="K79" s="864">
        <f t="shared" si="4"/>
        <v>0</v>
      </c>
      <c r="L79" s="864">
        <f t="shared" si="4"/>
        <v>0</v>
      </c>
      <c r="M79" s="864">
        <f t="shared" si="4"/>
        <v>0</v>
      </c>
      <c r="N79" s="864">
        <f t="shared" si="4"/>
        <v>0</v>
      </c>
      <c r="O79" s="864">
        <f t="shared" si="4"/>
        <v>0</v>
      </c>
      <c r="P79" s="865">
        <f>P81+P80</f>
        <v>332000</v>
      </c>
      <c r="R79" s="125"/>
      <c r="S79" s="125"/>
      <c r="T79" s="125"/>
    </row>
    <row r="80" spans="2:20" s="125" customFormat="1">
      <c r="B80" s="684" t="s">
        <v>521</v>
      </c>
      <c r="C80" s="684" t="s">
        <v>522</v>
      </c>
      <c r="D80" s="685"/>
      <c r="E80" s="685">
        <v>2000</v>
      </c>
      <c r="F80" s="685"/>
      <c r="G80" s="685"/>
      <c r="H80" s="685"/>
      <c r="I80" s="685"/>
      <c r="J80" s="685"/>
      <c r="K80" s="685"/>
      <c r="L80" s="685"/>
      <c r="M80" s="685"/>
      <c r="N80" s="685"/>
      <c r="O80" s="685"/>
      <c r="P80" s="687">
        <f t="shared" ref="P80:P86" si="5">SUM(D80:O80)</f>
        <v>2000</v>
      </c>
    </row>
    <row r="81" spans="2:18" s="125" customFormat="1">
      <c r="B81" s="684" t="s">
        <v>523</v>
      </c>
      <c r="C81" s="684" t="s">
        <v>524</v>
      </c>
      <c r="D81" s="685">
        <f>1000*3*55</f>
        <v>165000</v>
      </c>
      <c r="E81" s="685"/>
      <c r="F81" s="685"/>
      <c r="G81" s="685"/>
      <c r="H81" s="685">
        <v>165000</v>
      </c>
      <c r="I81" s="685"/>
      <c r="J81" s="685"/>
      <c r="K81" s="685"/>
      <c r="L81" s="685"/>
      <c r="M81" s="685"/>
      <c r="N81" s="685"/>
      <c r="O81" s="685"/>
      <c r="P81" s="687">
        <f t="shared" si="5"/>
        <v>330000</v>
      </c>
    </row>
    <row r="82" spans="2:18" s="613" customFormat="1" hidden="1">
      <c r="B82" s="862" t="s">
        <v>1290</v>
      </c>
      <c r="C82" s="863"/>
      <c r="D82" s="864">
        <f t="shared" ref="D82:O82" si="6">SUM(D83:D83)</f>
        <v>0</v>
      </c>
      <c r="E82" s="864">
        <f t="shared" si="6"/>
        <v>0</v>
      </c>
      <c r="F82" s="864">
        <f t="shared" si="6"/>
        <v>0</v>
      </c>
      <c r="G82" s="864">
        <f t="shared" si="6"/>
        <v>0</v>
      </c>
      <c r="H82" s="864">
        <f t="shared" si="6"/>
        <v>0</v>
      </c>
      <c r="I82" s="864">
        <f t="shared" si="6"/>
        <v>0</v>
      </c>
      <c r="J82" s="864">
        <f t="shared" si="6"/>
        <v>0</v>
      </c>
      <c r="K82" s="864">
        <f t="shared" si="6"/>
        <v>0</v>
      </c>
      <c r="L82" s="864">
        <f t="shared" si="6"/>
        <v>0</v>
      </c>
      <c r="M82" s="864">
        <f t="shared" si="6"/>
        <v>0</v>
      </c>
      <c r="N82" s="864">
        <f t="shared" si="6"/>
        <v>0</v>
      </c>
      <c r="O82" s="864">
        <f t="shared" si="6"/>
        <v>0</v>
      </c>
      <c r="P82" s="865">
        <f t="shared" si="5"/>
        <v>0</v>
      </c>
    </row>
    <row r="83" spans="2:18" s="697" customFormat="1" hidden="1">
      <c r="B83" s="684" t="s">
        <v>525</v>
      </c>
      <c r="C83" s="684" t="s">
        <v>526</v>
      </c>
      <c r="D83" s="696"/>
      <c r="E83" s="684"/>
      <c r="F83" s="684"/>
      <c r="G83" s="684"/>
      <c r="H83" s="684"/>
      <c r="I83" s="684"/>
      <c r="J83" s="684"/>
      <c r="K83" s="684"/>
      <c r="L83" s="684"/>
      <c r="M83" s="684"/>
      <c r="N83" s="684"/>
      <c r="O83" s="684"/>
      <c r="P83" s="687">
        <f t="shared" si="5"/>
        <v>0</v>
      </c>
    </row>
    <row r="84" spans="2:18" s="613" customFormat="1" hidden="1">
      <c r="B84" s="862" t="s">
        <v>1291</v>
      </c>
      <c r="C84" s="863"/>
      <c r="D84" s="864">
        <f t="shared" ref="D84:O84" si="7">SUM(D85:D85)</f>
        <v>0</v>
      </c>
      <c r="E84" s="864">
        <f t="shared" si="7"/>
        <v>0</v>
      </c>
      <c r="F84" s="864">
        <f t="shared" si="7"/>
        <v>0</v>
      </c>
      <c r="G84" s="864">
        <f t="shared" si="7"/>
        <v>0</v>
      </c>
      <c r="H84" s="864">
        <f t="shared" si="7"/>
        <v>0</v>
      </c>
      <c r="I84" s="864">
        <f t="shared" si="7"/>
        <v>0</v>
      </c>
      <c r="J84" s="864">
        <f t="shared" si="7"/>
        <v>0</v>
      </c>
      <c r="K84" s="864">
        <f t="shared" si="7"/>
        <v>0</v>
      </c>
      <c r="L84" s="864">
        <f t="shared" si="7"/>
        <v>0</v>
      </c>
      <c r="M84" s="864">
        <f t="shared" si="7"/>
        <v>0</v>
      </c>
      <c r="N84" s="864">
        <f t="shared" si="7"/>
        <v>0</v>
      </c>
      <c r="O84" s="864">
        <f t="shared" si="7"/>
        <v>0</v>
      </c>
      <c r="P84" s="865">
        <f t="shared" si="5"/>
        <v>0</v>
      </c>
    </row>
    <row r="85" spans="2:18" hidden="1">
      <c r="B85" s="308"/>
      <c r="C85" s="309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124"/>
      <c r="P85" s="316">
        <f t="shared" si="5"/>
        <v>0</v>
      </c>
    </row>
    <row r="86" spans="2:18" s="389" customFormat="1" ht="40.5">
      <c r="B86" s="385" t="s">
        <v>1395</v>
      </c>
      <c r="C86" s="386"/>
      <c r="D86" s="387">
        <f ca="1">'0'!C141/3</f>
        <v>5000</v>
      </c>
      <c r="E86" s="387">
        <f>D86</f>
        <v>5000</v>
      </c>
      <c r="F86" s="387">
        <f t="shared" ref="F86:O86" si="8">E86</f>
        <v>5000</v>
      </c>
      <c r="G86" s="387">
        <f t="shared" si="8"/>
        <v>5000</v>
      </c>
      <c r="H86" s="387">
        <f t="shared" si="8"/>
        <v>5000</v>
      </c>
      <c r="I86" s="387">
        <f t="shared" si="8"/>
        <v>5000</v>
      </c>
      <c r="J86" s="387">
        <f t="shared" si="8"/>
        <v>5000</v>
      </c>
      <c r="K86" s="387">
        <f t="shared" si="8"/>
        <v>5000</v>
      </c>
      <c r="L86" s="387">
        <f t="shared" si="8"/>
        <v>5000</v>
      </c>
      <c r="M86" s="387">
        <f t="shared" si="8"/>
        <v>5000</v>
      </c>
      <c r="N86" s="387">
        <f t="shared" si="8"/>
        <v>5000</v>
      </c>
      <c r="O86" s="387">
        <f t="shared" si="8"/>
        <v>5000</v>
      </c>
      <c r="P86" s="388">
        <f t="shared" si="5"/>
        <v>60000</v>
      </c>
    </row>
    <row r="87" spans="2:18">
      <c r="D87" s="390">
        <f>D5+D86</f>
        <v>15000</v>
      </c>
      <c r="E87" s="390">
        <f t="shared" ref="E87:M87" si="9">E5+E86</f>
        <v>61430</v>
      </c>
      <c r="F87" s="390">
        <f t="shared" si="9"/>
        <v>43245</v>
      </c>
      <c r="G87" s="390">
        <f t="shared" si="9"/>
        <v>12971.2</v>
      </c>
      <c r="H87" s="390">
        <f t="shared" si="9"/>
        <v>9264</v>
      </c>
      <c r="I87" s="390">
        <f t="shared" si="9"/>
        <v>10141</v>
      </c>
      <c r="J87" s="390">
        <f t="shared" si="9"/>
        <v>14021</v>
      </c>
      <c r="K87" s="390">
        <f t="shared" si="9"/>
        <v>13750</v>
      </c>
      <c r="L87" s="390">
        <f t="shared" si="9"/>
        <v>13584</v>
      </c>
      <c r="M87" s="390">
        <f t="shared" si="9"/>
        <v>13139</v>
      </c>
      <c r="N87" s="390">
        <f>N5+N86</f>
        <v>13180</v>
      </c>
      <c r="O87" s="390">
        <f>O5+O86</f>
        <v>5000</v>
      </c>
      <c r="P87" s="390">
        <f>P5+P86</f>
        <v>224725.2</v>
      </c>
    </row>
    <row r="88" spans="2:18"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</row>
    <row r="89" spans="2:18">
      <c r="P89" s="832">
        <f>P5+P74+P79+P82+P84+P3</f>
        <v>504725.2</v>
      </c>
    </row>
    <row r="91" spans="2:18">
      <c r="E91" s="308" t="s">
        <v>221</v>
      </c>
      <c r="F91" s="308"/>
      <c r="G91" s="308"/>
      <c r="H91" s="308" t="s">
        <v>224</v>
      </c>
      <c r="I91" s="308"/>
      <c r="J91" s="308"/>
      <c r="K91" s="308" t="s">
        <v>225</v>
      </c>
      <c r="L91" s="124"/>
      <c r="M91" s="308"/>
      <c r="N91" s="308" t="s">
        <v>263</v>
      </c>
      <c r="O91" s="124"/>
      <c r="P91" s="124"/>
      <c r="R91" s="909"/>
    </row>
    <row r="92" spans="2:18">
      <c r="E92" s="908">
        <f>D3+E3+F3+D5+E5+F5+D74+E74+F74+D79+E79+F79+F82+E82+D82+D84+E84+F84</f>
        <v>274675</v>
      </c>
      <c r="F92" s="308"/>
      <c r="G92" s="308"/>
      <c r="H92" s="908">
        <f>G3+H3+I3+G5+H5+I5+G74+H74+I74+G79+H79+I79+I82+H82+G82+G84+H84+I84</f>
        <v>182952.2</v>
      </c>
      <c r="I92" s="308"/>
      <c r="J92" s="308"/>
      <c r="K92" s="908">
        <f>J3+K3+L3+J5+K5+L5+J74+K74+L74+J79+K79+L79+L82+K82+J82+J84+K84+L84</f>
        <v>29170</v>
      </c>
      <c r="L92" s="124"/>
      <c r="M92" s="308"/>
      <c r="N92" s="908">
        <f>M3+N3+O3+M5+N5+O5+M74+N74+O74+M79+N79+O79+O82+N82+M82+M84+N84+O84</f>
        <v>17928</v>
      </c>
      <c r="O92" s="124"/>
      <c r="P92" s="685">
        <f>SUM(E92:N92)</f>
        <v>504725.2</v>
      </c>
    </row>
  </sheetData>
  <phoneticPr fontId="55" type="noConversion"/>
  <hyperlinks>
    <hyperlink ref="B70" r:id="rId1" display="https://prozorro.gov.ua/tender/UA-2021-12-23-004838-c"/>
    <hyperlink ref="C70" r:id="rId2" display="https://prozorro.gov.ua/tender/UA-2021-12-23-004838-c"/>
    <hyperlink ref="B75" r:id="rId3" display="https://prozorro.gov.ua/tender/UA-2021-12-23-001011-c"/>
    <hyperlink ref="C75" r:id="rId4" display="https://prozorro.gov.ua/tender/UA-2021-12-23-001011-c"/>
    <hyperlink ref="B35" r:id="rId5" display="https://prozorro.gov.ua/tender/UA-2021-12-28-012359-c"/>
    <hyperlink ref="B59" r:id="rId6" display="https://prozorro.gov.ua/tender/UA-2021-12-27-000964-c"/>
    <hyperlink ref="C35" r:id="rId7" display="https://prozorro.gov.ua/tender/UA-2021-12-28-012359-c"/>
    <hyperlink ref="C59" r:id="rId8" display="https://prozorro.gov.ua/tender/UA-2021-12-27-000964-c"/>
    <hyperlink ref="B40" r:id="rId9" display="https://prozorro.gov.ua/tender/UA-2022-02-08-005472-b"/>
    <hyperlink ref="C40" r:id="rId10" display="https://prozorro.gov.ua/tender/UA-2022-02-08-005472-b"/>
    <hyperlink ref="B57" r:id="rId11" display="https://prozorro.gov.ua/tender/UA-2022-02-09-006512-b"/>
    <hyperlink ref="B63" r:id="rId12" display="https://prozorro.gov.ua/tender/UA-2022-02-28-000885-a"/>
    <hyperlink ref="C63" r:id="rId13" display="https://prozorro.gov.ua/tender/UA-2022-02-28-000885-a"/>
    <hyperlink ref="C37" r:id="rId14" display="https://prozorro.gov.ua/tender/UA-2022-02-28-001856-a"/>
    <hyperlink ref="B37" r:id="rId15" display="https://prozorro.gov.ua/tender/UA-2022-02-28-001856-a"/>
    <hyperlink ref="B28" r:id="rId16" display="https://prozorro.gov.ua/tender/UA-2022-03-01-002063-a"/>
    <hyperlink ref="C28" r:id="rId17" display="https://prozorro.gov.ua/tender/UA-2022-03-01-002063-a"/>
    <hyperlink ref="B42" r:id="rId18" display="https://prozorro.gov.ua/tender/UA-2022-03-23-003545-b"/>
    <hyperlink ref="C42" r:id="rId19" display="https://prozorro.gov.ua/tender/UA-2022-03-23-003545-b"/>
    <hyperlink ref="B66" r:id="rId20" display="https://prozorro.gov.ua/tender/UA-2022-03-21-001032-a"/>
    <hyperlink ref="C66" r:id="rId21" display="https://prozorro.gov.ua/tender/UA-2022-03-21-001032-a"/>
    <hyperlink ref="B22" r:id="rId22" display="https://prozorro.gov.ua/tender/UA-2022-04-05-003127-b"/>
    <hyperlink ref="C22" r:id="rId23" display="https://prozorro.gov.ua/tender/UA-2022-04-05-003127-b"/>
    <hyperlink ref="B39" r:id="rId24" display="https://prozorro.gov.ua/tender/UA-2022-04-08-001715-b"/>
    <hyperlink ref="C39" r:id="rId25" display="https://prozorro.gov.ua/tender/UA-2022-04-08-001715-b"/>
    <hyperlink ref="B61" r:id="rId26" display="https://prozorro.gov.ua/tender/UA-2022-04-20-000925-a"/>
    <hyperlink ref="C61" r:id="rId27" display="https://prozorro.gov.ua/tender/UA-2022-04-20-000925-a"/>
    <hyperlink ref="B60" r:id="rId28" display="https://prozorro.gov.ua/tender/UA-2022-05-25-002037-a"/>
    <hyperlink ref="C60" r:id="rId29" display="https://prozorro.gov.ua/tender/UA-2022-05-25-002037-a"/>
    <hyperlink ref="C23" r:id="rId30" display="https://prozorro.gov.ua/tender/UA-2022-04-05-003127-b"/>
    <hyperlink ref="B19" r:id="rId31" display="https://prozorro.gov.ua/tender/UA-2022-06-03-003938-a"/>
    <hyperlink ref="C19" r:id="rId32" display="https://prozorro.gov.ua/tender/UA-2022-06-03-003938-a"/>
    <hyperlink ref="B14" r:id="rId33" display="https://prozorro.gov.ua/tender/UA-2022-06-15-006450-a"/>
    <hyperlink ref="C14" r:id="rId34" display="https://prozorro.gov.ua/tender/UA-2022-06-15-006450-a"/>
    <hyperlink ref="B44" r:id="rId35" display="https://prozorro.gov.ua/tender/UA-2022-06-17-004896-a"/>
    <hyperlink ref="C44" r:id="rId36" display="https://prozorro.gov.ua/tender/UA-2022-06-17-004896-a"/>
    <hyperlink ref="C20" r:id="rId37" display="https://prozorro.gov.ua/tender/UA-2022-06-21-003178-a"/>
    <hyperlink ref="B20" r:id="rId38" display="https://prozorro.gov.ua/tender/UA-2022-06-21-003178-a"/>
    <hyperlink ref="C77" r:id="rId39" display="https://prozorro.gov.ua/tender/UA-2022-06-23-000751-a"/>
    <hyperlink ref="B77" r:id="rId40" display="https://prozorro.gov.ua/tender/UA-2022-06-23-000751-a"/>
    <hyperlink ref="B67" r:id="rId41" display="https://prozorro.gov.ua/tender/UA-2022-07-06-000137-a"/>
    <hyperlink ref="C67" r:id="rId42" display="https://prozorro.gov.ua/tender/UA-2022-07-06-000137-a"/>
    <hyperlink ref="B25" r:id="rId43" display="https://prozorro.gov.ua/tender/UA-2022-06-15-003341-a"/>
    <hyperlink ref="C25" r:id="rId44" display="https://prozorro.gov.ua/tender/UA-2022-06-15-003341-a"/>
    <hyperlink ref="B54" r:id="rId45" display="https://prozorro.gov.ua/tender/UA-2022-07-01-005673-a"/>
    <hyperlink ref="C54" r:id="rId46" display="https://prozorro.gov.ua/tender/UA-2022-07-01-005673-a"/>
    <hyperlink ref="B13" r:id="rId47" display="https://prozorro.gov.ua/tender/UA-2022-07-11-001697-a"/>
    <hyperlink ref="C13" r:id="rId48" display="https://prozorro.gov.ua/tender/UA-2022-07-11-001697-a"/>
    <hyperlink ref="B45" r:id="rId49" display="https://prozorro.gov.ua/tender/UA-2022-07-25-002801-a"/>
    <hyperlink ref="C45" r:id="rId50" display="https://prozorro.gov.ua/tender/UA-2022-07-25-002801-a"/>
    <hyperlink ref="B9" r:id="rId51" display="https://prozorro.gov.ua/tender/UA-2022-08-30-000874-a"/>
    <hyperlink ref="C9" r:id="rId52" display="https://prozorro.gov.ua/tender/UA-2022-08-30-000874-a"/>
    <hyperlink ref="B51" r:id="rId53" display="https://prozorro.gov.ua/tender/UA-2022-09-06-007256-a"/>
    <hyperlink ref="C51" r:id="rId54" display="https://prozorro.gov.ua/tender/UA-2022-09-06-007256-a"/>
    <hyperlink ref="B65" r:id="rId55" display="https://prozorro.gov.ua/tender/UA-2022-04-20-000925-a"/>
    <hyperlink ref="C65" r:id="rId56" display="https://prozorro.gov.ua/tender/UA-2022-04-20-000925-a"/>
    <hyperlink ref="B50" r:id="rId57" display="https://prozorro.gov.ua/tender/UA-2022-09-16-004153-a"/>
    <hyperlink ref="C50" r:id="rId58" display="https://prozorro.gov.ua/tender/UA-2022-09-16-004153-a"/>
    <hyperlink ref="B30" r:id="rId59" display="https://prozorro.gov.ua/tender/UA-2022-09-16-008376-a"/>
    <hyperlink ref="C30" r:id="rId60" display="https://prozorro.gov.ua/tender/UA-2022-09-16-008376-a"/>
    <hyperlink ref="B34" r:id="rId61" display="https://prozorro.gov.ua/tender/UA-2022-09-16-008121-a"/>
    <hyperlink ref="C34" r:id="rId62" display="https://prozorro.gov.ua/tender/UA-2022-09-16-008121-a"/>
    <hyperlink ref="B46" r:id="rId63" display="https://prozorro.gov.ua/tender/UA-2022-10-04-008957-a"/>
    <hyperlink ref="C46" r:id="rId64" display="https://prozorro.gov.ua/tender/UA-2022-10-04-008957-a"/>
    <hyperlink ref="B69" r:id="rId65" display="https://prozorro.gov.ua/tender/UA-2022-10-04-002820-a"/>
    <hyperlink ref="C69" r:id="rId66" display="https://prozorro.gov.ua/tender/UA-2022-10-04-002820-a"/>
    <hyperlink ref="B7" r:id="rId67" display="https://prozorro.gov.ua/tender/UA-2022-10-11-005598-a"/>
  </hyperlinks>
  <pageMargins left="0" right="0" top="0" bottom="0" header="0" footer="0"/>
  <pageSetup paperSize="9" scale="44" fitToWidth="0" orientation="landscape" r:id="rId6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507"/>
  <sheetViews>
    <sheetView view="pageBreakPreview" zoomScale="72" zoomScaleNormal="100" zoomScaleSheetLayoutView="72" workbookViewId="0">
      <selection activeCell="L495" sqref="L495"/>
    </sheetView>
  </sheetViews>
  <sheetFormatPr defaultRowHeight="15.75"/>
  <cols>
    <col min="1" max="1" width="3" customWidth="1"/>
    <col min="2" max="2" width="5.7109375" style="345" customWidth="1"/>
    <col min="3" max="3" width="88.42578125" style="583" customWidth="1"/>
    <col min="4" max="4" width="72.5703125" style="351" customWidth="1"/>
    <col min="5" max="5" width="11.42578125" style="345" customWidth="1"/>
    <col min="6" max="6" width="12.5703125" style="345" customWidth="1"/>
    <col min="7" max="7" width="20.28515625" style="345" hidden="1" customWidth="1"/>
    <col min="8" max="8" width="10.85546875" style="345" bestFit="1" customWidth="1"/>
    <col min="9" max="9" width="13.85546875" style="345" hidden="1" customWidth="1"/>
    <col min="10" max="10" width="14.5703125" style="349" bestFit="1" customWidth="1"/>
    <col min="11" max="11" width="10.85546875" bestFit="1" customWidth="1"/>
    <col min="12" max="12" width="25" style="83" customWidth="1"/>
    <col min="13" max="13" width="9.7109375" bestFit="1" customWidth="1"/>
    <col min="14" max="14" width="10.28515625" bestFit="1" customWidth="1"/>
    <col min="15" max="15" width="13.85546875" style="584" bestFit="1" customWidth="1"/>
    <col min="16" max="16" width="11.7109375" bestFit="1" customWidth="1"/>
    <col min="17" max="17" width="77.140625" style="300" customWidth="1"/>
    <col min="18" max="18" width="13.85546875" bestFit="1" customWidth="1"/>
    <col min="19" max="19" width="9.140625" style="301"/>
    <col min="20" max="20" width="19.28515625" customWidth="1"/>
  </cols>
  <sheetData>
    <row r="1" spans="2:17">
      <c r="B1" s="480"/>
      <c r="C1" s="481"/>
      <c r="D1" s="482"/>
      <c r="E1" s="480"/>
      <c r="F1" s="480"/>
      <c r="G1" s="480"/>
      <c r="H1" s="480"/>
      <c r="I1" s="480"/>
      <c r="J1" s="483"/>
      <c r="K1" s="250"/>
      <c r="L1" s="250"/>
      <c r="M1" s="250"/>
      <c r="N1" s="250"/>
      <c r="O1" s="484"/>
      <c r="P1" s="250"/>
    </row>
    <row r="2" spans="2:17">
      <c r="B2" s="480"/>
      <c r="C2" s="485" t="s">
        <v>583</v>
      </c>
      <c r="D2" s="486" t="s">
        <v>735</v>
      </c>
      <c r="E2" s="480"/>
      <c r="F2" s="480"/>
      <c r="G2" s="480"/>
      <c r="H2" s="480"/>
      <c r="I2" s="480"/>
      <c r="J2" s="483"/>
      <c r="K2" s="250"/>
      <c r="L2" s="250"/>
      <c r="M2" s="250"/>
      <c r="N2" s="250"/>
      <c r="O2" s="484"/>
      <c r="P2" s="250"/>
    </row>
    <row r="3" spans="2:17">
      <c r="B3" s="480"/>
      <c r="C3" s="481"/>
      <c r="D3" s="482"/>
      <c r="E3" s="480"/>
      <c r="F3" s="480"/>
      <c r="G3" s="480"/>
      <c r="H3" s="480"/>
      <c r="I3" s="480"/>
      <c r="J3" s="483"/>
      <c r="K3" s="250"/>
      <c r="L3" s="250"/>
      <c r="M3" s="250"/>
      <c r="N3" s="250"/>
      <c r="O3" s="484"/>
      <c r="P3" s="250"/>
    </row>
    <row r="4" spans="2:17" s="301" customFormat="1" ht="39" customHeight="1">
      <c r="B4" s="487" t="s">
        <v>736</v>
      </c>
      <c r="C4" s="488" t="s">
        <v>737</v>
      </c>
      <c r="D4" s="489" t="s">
        <v>738</v>
      </c>
      <c r="E4" s="680" t="s">
        <v>1887</v>
      </c>
      <c r="F4" s="259" t="s">
        <v>1962</v>
      </c>
      <c r="G4" s="490" t="s">
        <v>1963</v>
      </c>
      <c r="H4" s="490" t="s">
        <v>122</v>
      </c>
      <c r="I4" s="491" t="s">
        <v>1964</v>
      </c>
      <c r="J4" s="492" t="s">
        <v>584</v>
      </c>
      <c r="K4" s="176"/>
      <c r="L4" s="250"/>
      <c r="M4" s="176"/>
      <c r="N4" s="176"/>
      <c r="O4" s="493"/>
      <c r="P4" s="176"/>
      <c r="Q4" s="670"/>
    </row>
    <row r="5" spans="2:17">
      <c r="B5" s="259">
        <v>1</v>
      </c>
      <c r="C5" s="307" t="s">
        <v>739</v>
      </c>
      <c r="D5" s="307" t="s">
        <v>740</v>
      </c>
      <c r="E5" s="259" t="s">
        <v>741</v>
      </c>
      <c r="F5" s="259">
        <v>200</v>
      </c>
      <c r="G5" s="282">
        <f>51.04/10</f>
        <v>5.1040000000000001</v>
      </c>
      <c r="H5" s="282">
        <f>51.04/10</f>
        <v>5.1040000000000001</v>
      </c>
      <c r="I5" s="282"/>
      <c r="J5" s="293">
        <f>H5*F5</f>
        <v>1020.8000000000001</v>
      </c>
      <c r="K5" s="250"/>
      <c r="L5" s="250"/>
      <c r="M5" s="250"/>
      <c r="N5" s="250"/>
      <c r="O5" s="484"/>
      <c r="P5" s="250"/>
    </row>
    <row r="6" spans="2:17">
      <c r="B6" s="259">
        <f>1+B5</f>
        <v>2</v>
      </c>
      <c r="C6" s="307" t="s">
        <v>742</v>
      </c>
      <c r="D6" s="307" t="s">
        <v>743</v>
      </c>
      <c r="E6" s="259" t="s">
        <v>360</v>
      </c>
      <c r="F6" s="259">
        <v>6</v>
      </c>
      <c r="G6" s="282">
        <v>9.4</v>
      </c>
      <c r="H6" s="282">
        <v>9.4</v>
      </c>
      <c r="I6" s="282"/>
      <c r="J6" s="293">
        <f t="shared" ref="J6:J69" si="0">H6*F6</f>
        <v>56.400000000000006</v>
      </c>
      <c r="K6" s="250"/>
      <c r="L6" s="250"/>
      <c r="M6" s="250"/>
      <c r="N6" s="250"/>
      <c r="O6" s="484"/>
      <c r="P6" s="250"/>
    </row>
    <row r="7" spans="2:17">
      <c r="B7" s="259">
        <f t="shared" ref="B7:B70" si="1">1+B6</f>
        <v>3</v>
      </c>
      <c r="C7" s="307" t="s">
        <v>744</v>
      </c>
      <c r="D7" s="307" t="s">
        <v>745</v>
      </c>
      <c r="E7" s="259" t="s">
        <v>741</v>
      </c>
      <c r="F7" s="259">
        <v>120</v>
      </c>
      <c r="G7" s="282">
        <f>41.31/10</f>
        <v>4.1310000000000002</v>
      </c>
      <c r="H7" s="282">
        <f>41.31/10</f>
        <v>4.1310000000000002</v>
      </c>
      <c r="I7" s="282"/>
      <c r="J7" s="293">
        <f t="shared" si="0"/>
        <v>495.72</v>
      </c>
      <c r="K7" s="250"/>
      <c r="L7" s="250"/>
      <c r="M7" s="250"/>
      <c r="N7" s="250"/>
      <c r="O7" s="484"/>
      <c r="P7" s="250"/>
    </row>
    <row r="8" spans="2:17">
      <c r="B8" s="259">
        <f t="shared" si="1"/>
        <v>4</v>
      </c>
      <c r="C8" s="307" t="s">
        <v>746</v>
      </c>
      <c r="D8" s="307" t="s">
        <v>747</v>
      </c>
      <c r="E8" s="259" t="s">
        <v>360</v>
      </c>
      <c r="F8" s="259">
        <v>50</v>
      </c>
      <c r="G8" s="282">
        <v>66.180000000000007</v>
      </c>
      <c r="H8" s="282">
        <v>66.180000000000007</v>
      </c>
      <c r="I8" s="282"/>
      <c r="J8" s="293">
        <f t="shared" si="0"/>
        <v>3309.0000000000005</v>
      </c>
      <c r="K8" s="250"/>
      <c r="L8" s="250"/>
      <c r="M8" s="250"/>
      <c r="N8" s="250"/>
      <c r="O8" s="484"/>
      <c r="P8" s="250"/>
    </row>
    <row r="9" spans="2:17">
      <c r="B9" s="259">
        <f t="shared" si="1"/>
        <v>5</v>
      </c>
      <c r="C9" s="307" t="s">
        <v>748</v>
      </c>
      <c r="D9" s="307" t="s">
        <v>749</v>
      </c>
      <c r="E9" s="259" t="s">
        <v>741</v>
      </c>
      <c r="F9" s="259">
        <f>15*20</f>
        <v>300</v>
      </c>
      <c r="G9" s="282">
        <f>11.18/20</f>
        <v>0.55899999999999994</v>
      </c>
      <c r="H9" s="282">
        <f>11.18/20</f>
        <v>0.55899999999999994</v>
      </c>
      <c r="I9" s="282"/>
      <c r="J9" s="293">
        <f t="shared" si="0"/>
        <v>167.7</v>
      </c>
      <c r="K9" s="250"/>
      <c r="L9" s="250"/>
      <c r="M9" s="250"/>
      <c r="N9" s="250"/>
      <c r="O9" s="484"/>
      <c r="P9" s="250"/>
    </row>
    <row r="10" spans="2:17">
      <c r="B10" s="259">
        <f t="shared" si="1"/>
        <v>6</v>
      </c>
      <c r="C10" s="307" t="s">
        <v>750</v>
      </c>
      <c r="D10" s="307" t="s">
        <v>751</v>
      </c>
      <c r="E10" s="259" t="s">
        <v>741</v>
      </c>
      <c r="F10" s="259">
        <v>30</v>
      </c>
      <c r="G10" s="282">
        <v>176.55</v>
      </c>
      <c r="H10" s="282">
        <v>176.55</v>
      </c>
      <c r="I10" s="282"/>
      <c r="J10" s="293">
        <f t="shared" si="0"/>
        <v>5296.5</v>
      </c>
      <c r="K10" s="250"/>
      <c r="L10" s="250"/>
      <c r="M10" s="250"/>
      <c r="N10" s="250"/>
      <c r="O10" s="484"/>
      <c r="P10" s="250"/>
    </row>
    <row r="11" spans="2:17">
      <c r="B11" s="259">
        <f t="shared" si="1"/>
        <v>7</v>
      </c>
      <c r="C11" s="307" t="s">
        <v>752</v>
      </c>
      <c r="D11" s="307" t="s">
        <v>753</v>
      </c>
      <c r="E11" s="259" t="s">
        <v>741</v>
      </c>
      <c r="F11" s="259">
        <v>10</v>
      </c>
      <c r="G11" s="282">
        <v>60.5</v>
      </c>
      <c r="H11" s="282">
        <v>60.5</v>
      </c>
      <c r="I11" s="282"/>
      <c r="J11" s="293">
        <f t="shared" si="0"/>
        <v>605</v>
      </c>
      <c r="K11" s="250"/>
      <c r="L11" s="250"/>
      <c r="M11" s="250"/>
      <c r="N11" s="250"/>
      <c r="O11" s="484"/>
      <c r="P11" s="250"/>
    </row>
    <row r="12" spans="2:17">
      <c r="B12" s="259">
        <f t="shared" si="1"/>
        <v>8</v>
      </c>
      <c r="C12" s="307" t="s">
        <v>754</v>
      </c>
      <c r="D12" s="307" t="s">
        <v>755</v>
      </c>
      <c r="E12" s="259" t="s">
        <v>741</v>
      </c>
      <c r="F12" s="259">
        <v>5</v>
      </c>
      <c r="G12" s="282">
        <v>58.85</v>
      </c>
      <c r="H12" s="282">
        <v>58.85</v>
      </c>
      <c r="I12" s="282"/>
      <c r="J12" s="293">
        <f t="shared" si="0"/>
        <v>294.25</v>
      </c>
      <c r="K12" s="250"/>
      <c r="L12" s="250"/>
      <c r="M12" s="250"/>
      <c r="N12" s="250"/>
      <c r="O12" s="484"/>
      <c r="P12" s="250"/>
    </row>
    <row r="13" spans="2:17">
      <c r="B13" s="259">
        <f t="shared" si="1"/>
        <v>9</v>
      </c>
      <c r="C13" s="307" t="s">
        <v>756</v>
      </c>
      <c r="D13" s="307" t="s">
        <v>755</v>
      </c>
      <c r="E13" s="259" t="s">
        <v>741</v>
      </c>
      <c r="F13" s="259">
        <v>20</v>
      </c>
      <c r="G13" s="282">
        <v>47.08</v>
      </c>
      <c r="H13" s="282">
        <v>47.08</v>
      </c>
      <c r="I13" s="282"/>
      <c r="J13" s="293">
        <f t="shared" si="0"/>
        <v>941.59999999999991</v>
      </c>
      <c r="K13" s="250"/>
      <c r="L13" s="250"/>
      <c r="M13" s="250"/>
      <c r="N13" s="250"/>
      <c r="O13" s="484"/>
      <c r="P13" s="250"/>
    </row>
    <row r="14" spans="2:17">
      <c r="B14" s="259">
        <f t="shared" si="1"/>
        <v>10</v>
      </c>
      <c r="C14" s="307" t="s">
        <v>757</v>
      </c>
      <c r="D14" s="307" t="s">
        <v>758</v>
      </c>
      <c r="E14" s="259" t="s">
        <v>741</v>
      </c>
      <c r="F14" s="259">
        <v>200</v>
      </c>
      <c r="G14" s="282">
        <f>62.38/10</f>
        <v>6.2380000000000004</v>
      </c>
      <c r="H14" s="282">
        <f>62.38/10</f>
        <v>6.2380000000000004</v>
      </c>
      <c r="I14" s="282"/>
      <c r="J14" s="293">
        <f t="shared" si="0"/>
        <v>1247.6000000000001</v>
      </c>
      <c r="K14" s="250"/>
      <c r="L14" s="250"/>
      <c r="M14" s="250"/>
      <c r="N14" s="250"/>
      <c r="O14" s="484"/>
      <c r="P14" s="250"/>
    </row>
    <row r="15" spans="2:17">
      <c r="B15" s="259">
        <f t="shared" si="1"/>
        <v>11</v>
      </c>
      <c r="C15" s="307" t="s">
        <v>759</v>
      </c>
      <c r="D15" s="307" t="s">
        <v>760</v>
      </c>
      <c r="E15" s="259" t="s">
        <v>741</v>
      </c>
      <c r="F15" s="259">
        <f>10*5</f>
        <v>50</v>
      </c>
      <c r="G15" s="282">
        <f>211.31/5</f>
        <v>42.262</v>
      </c>
      <c r="H15" s="282">
        <f>211.31/5</f>
        <v>42.262</v>
      </c>
      <c r="I15" s="282"/>
      <c r="J15" s="293">
        <f t="shared" si="0"/>
        <v>2113.1</v>
      </c>
      <c r="K15" s="250"/>
      <c r="L15" s="250"/>
      <c r="M15" s="250"/>
      <c r="N15" s="250"/>
      <c r="O15" s="484"/>
      <c r="P15" s="250"/>
    </row>
    <row r="16" spans="2:17">
      <c r="B16" s="259">
        <f t="shared" si="1"/>
        <v>12</v>
      </c>
      <c r="C16" s="307" t="s">
        <v>761</v>
      </c>
      <c r="D16" s="307" t="s">
        <v>760</v>
      </c>
      <c r="E16" s="259" t="s">
        <v>741</v>
      </c>
      <c r="F16" s="259">
        <f>20*5</f>
        <v>100</v>
      </c>
      <c r="G16" s="282">
        <f>310.75/5</f>
        <v>62.15</v>
      </c>
      <c r="H16" s="282">
        <f>310.75/5</f>
        <v>62.15</v>
      </c>
      <c r="I16" s="282"/>
      <c r="J16" s="293">
        <f t="shared" si="0"/>
        <v>6215</v>
      </c>
      <c r="K16" s="250"/>
      <c r="L16" s="250"/>
      <c r="M16" s="250"/>
      <c r="N16" s="250"/>
      <c r="O16" s="484"/>
      <c r="P16" s="250"/>
    </row>
    <row r="17" spans="2:16">
      <c r="B17" s="259">
        <f t="shared" si="1"/>
        <v>13</v>
      </c>
      <c r="C17" s="307" t="s">
        <v>762</v>
      </c>
      <c r="D17" s="307" t="s">
        <v>763</v>
      </c>
      <c r="E17" s="259" t="s">
        <v>741</v>
      </c>
      <c r="F17" s="259">
        <v>9</v>
      </c>
      <c r="G17" s="282">
        <v>40.15</v>
      </c>
      <c r="H17" s="282">
        <v>40.15</v>
      </c>
      <c r="I17" s="282"/>
      <c r="J17" s="293">
        <f t="shared" si="0"/>
        <v>361.34999999999997</v>
      </c>
      <c r="K17" s="250"/>
      <c r="L17" s="250"/>
      <c r="M17" s="250"/>
      <c r="N17" s="250"/>
      <c r="O17" s="484"/>
      <c r="P17" s="250"/>
    </row>
    <row r="18" spans="2:16">
      <c r="B18" s="259">
        <f t="shared" si="1"/>
        <v>14</v>
      </c>
      <c r="C18" s="307" t="s">
        <v>764</v>
      </c>
      <c r="D18" s="307" t="s">
        <v>765</v>
      </c>
      <c r="E18" s="259" t="s">
        <v>741</v>
      </c>
      <c r="F18" s="259">
        <v>20</v>
      </c>
      <c r="G18" s="282">
        <v>16.48</v>
      </c>
      <c r="H18" s="282">
        <v>16.48</v>
      </c>
      <c r="I18" s="282"/>
      <c r="J18" s="293">
        <f t="shared" si="0"/>
        <v>329.6</v>
      </c>
      <c r="K18" s="250"/>
      <c r="L18" s="250"/>
      <c r="M18" s="250"/>
      <c r="N18" s="250"/>
      <c r="O18" s="484"/>
      <c r="P18" s="250"/>
    </row>
    <row r="19" spans="2:16">
      <c r="B19" s="259">
        <f t="shared" si="1"/>
        <v>15</v>
      </c>
      <c r="C19" s="307" t="s">
        <v>766</v>
      </c>
      <c r="D19" s="307" t="s">
        <v>767</v>
      </c>
      <c r="E19" s="259" t="s">
        <v>741</v>
      </c>
      <c r="F19" s="259">
        <v>5</v>
      </c>
      <c r="G19" s="282">
        <v>192.82</v>
      </c>
      <c r="H19" s="282">
        <v>192.82</v>
      </c>
      <c r="I19" s="282"/>
      <c r="J19" s="293">
        <f t="shared" si="0"/>
        <v>964.09999999999991</v>
      </c>
      <c r="K19" s="250"/>
      <c r="L19" s="250"/>
      <c r="M19" s="250"/>
      <c r="N19" s="250"/>
      <c r="O19" s="484"/>
      <c r="P19" s="250"/>
    </row>
    <row r="20" spans="2:16">
      <c r="B20" s="259">
        <f t="shared" si="1"/>
        <v>16</v>
      </c>
      <c r="C20" s="307" t="s">
        <v>768</v>
      </c>
      <c r="D20" s="307" t="s">
        <v>769</v>
      </c>
      <c r="E20" s="259" t="s">
        <v>741</v>
      </c>
      <c r="F20" s="259">
        <v>2</v>
      </c>
      <c r="G20" s="282">
        <v>288.37</v>
      </c>
      <c r="H20" s="282">
        <v>288.37</v>
      </c>
      <c r="I20" s="282"/>
      <c r="J20" s="293">
        <f t="shared" si="0"/>
        <v>576.74</v>
      </c>
      <c r="K20" s="250"/>
      <c r="L20" s="250"/>
      <c r="M20" s="250"/>
      <c r="N20" s="250"/>
      <c r="O20" s="484"/>
      <c r="P20" s="250"/>
    </row>
    <row r="21" spans="2:16">
      <c r="B21" s="259">
        <f t="shared" si="1"/>
        <v>17</v>
      </c>
      <c r="C21" s="307" t="s">
        <v>770</v>
      </c>
      <c r="D21" s="307" t="s">
        <v>771</v>
      </c>
      <c r="E21" s="259" t="s">
        <v>741</v>
      </c>
      <c r="F21" s="259">
        <v>20</v>
      </c>
      <c r="G21" s="282">
        <v>22.36</v>
      </c>
      <c r="H21" s="282">
        <v>22.36</v>
      </c>
      <c r="I21" s="282"/>
      <c r="J21" s="293">
        <f t="shared" si="0"/>
        <v>447.2</v>
      </c>
      <c r="K21" s="250"/>
      <c r="L21" s="250"/>
      <c r="M21" s="250"/>
      <c r="N21" s="250"/>
      <c r="O21" s="484"/>
      <c r="P21" s="250"/>
    </row>
    <row r="22" spans="2:16">
      <c r="B22" s="259">
        <f t="shared" si="1"/>
        <v>18</v>
      </c>
      <c r="C22" s="307" t="s">
        <v>772</v>
      </c>
      <c r="D22" s="307" t="s">
        <v>773</v>
      </c>
      <c r="E22" s="259" t="s">
        <v>741</v>
      </c>
      <c r="F22" s="259">
        <v>2</v>
      </c>
      <c r="G22" s="282">
        <v>59.44</v>
      </c>
      <c r="H22" s="282">
        <v>59.44</v>
      </c>
      <c r="I22" s="282"/>
      <c r="J22" s="293">
        <f t="shared" si="0"/>
        <v>118.88</v>
      </c>
      <c r="K22" s="250"/>
      <c r="L22" s="250"/>
      <c r="M22" s="250"/>
      <c r="N22" s="250"/>
      <c r="O22" s="484"/>
      <c r="P22" s="250"/>
    </row>
    <row r="23" spans="2:16">
      <c r="B23" s="259">
        <f t="shared" si="1"/>
        <v>19</v>
      </c>
      <c r="C23" s="307" t="s">
        <v>774</v>
      </c>
      <c r="D23" s="307" t="s">
        <v>775</v>
      </c>
      <c r="E23" s="259" t="s">
        <v>741</v>
      </c>
      <c r="F23" s="259">
        <f>200*10</f>
        <v>2000</v>
      </c>
      <c r="G23" s="282">
        <f>19.89/10</f>
        <v>1.9890000000000001</v>
      </c>
      <c r="H23" s="282">
        <f>19.89/10</f>
        <v>1.9890000000000001</v>
      </c>
      <c r="I23" s="282"/>
      <c r="J23" s="293">
        <f t="shared" si="0"/>
        <v>3978</v>
      </c>
      <c r="K23" s="250"/>
      <c r="L23" s="250"/>
      <c r="M23" s="250"/>
      <c r="N23" s="250"/>
      <c r="O23" s="484"/>
      <c r="P23" s="250"/>
    </row>
    <row r="24" spans="2:16">
      <c r="B24" s="259">
        <f t="shared" si="1"/>
        <v>20</v>
      </c>
      <c r="C24" s="307" t="s">
        <v>776</v>
      </c>
      <c r="D24" s="307" t="s">
        <v>775</v>
      </c>
      <c r="E24" s="259" t="s">
        <v>741</v>
      </c>
      <c r="F24" s="259">
        <v>200</v>
      </c>
      <c r="G24" s="282">
        <f>25.07/10</f>
        <v>2.5070000000000001</v>
      </c>
      <c r="H24" s="282">
        <f>25.07/10</f>
        <v>2.5070000000000001</v>
      </c>
      <c r="I24" s="282"/>
      <c r="J24" s="293">
        <f t="shared" si="0"/>
        <v>501.40000000000003</v>
      </c>
      <c r="K24" s="250"/>
      <c r="L24" s="250"/>
      <c r="M24" s="250"/>
      <c r="N24" s="250"/>
      <c r="O24" s="484"/>
      <c r="P24" s="250"/>
    </row>
    <row r="25" spans="2:16">
      <c r="B25" s="259">
        <f t="shared" si="1"/>
        <v>21</v>
      </c>
      <c r="C25" s="307" t="s">
        <v>777</v>
      </c>
      <c r="D25" s="307" t="s">
        <v>778</v>
      </c>
      <c r="E25" s="259" t="s">
        <v>741</v>
      </c>
      <c r="F25" s="259">
        <v>17</v>
      </c>
      <c r="G25" s="282">
        <v>655.16</v>
      </c>
      <c r="H25" s="282">
        <v>655.16</v>
      </c>
      <c r="I25" s="282"/>
      <c r="J25" s="293">
        <f t="shared" si="0"/>
        <v>11137.72</v>
      </c>
      <c r="K25" s="250"/>
      <c r="L25" s="250"/>
      <c r="M25" s="250"/>
      <c r="N25" s="250"/>
      <c r="O25" s="484"/>
      <c r="P25" s="250"/>
    </row>
    <row r="26" spans="2:16">
      <c r="B26" s="259">
        <f t="shared" si="1"/>
        <v>22</v>
      </c>
      <c r="C26" s="307" t="s">
        <v>779</v>
      </c>
      <c r="D26" s="307" t="s">
        <v>778</v>
      </c>
      <c r="E26" s="259" t="s">
        <v>741</v>
      </c>
      <c r="F26" s="259">
        <v>40</v>
      </c>
      <c r="G26" s="282">
        <v>196.3</v>
      </c>
      <c r="H26" s="282">
        <v>196.3</v>
      </c>
      <c r="I26" s="282"/>
      <c r="J26" s="293">
        <f t="shared" si="0"/>
        <v>7852</v>
      </c>
      <c r="K26" s="250"/>
      <c r="L26" s="250"/>
      <c r="M26" s="250"/>
      <c r="N26" s="250"/>
      <c r="O26" s="484"/>
      <c r="P26" s="250"/>
    </row>
    <row r="27" spans="2:16">
      <c r="B27" s="259">
        <f t="shared" si="1"/>
        <v>23</v>
      </c>
      <c r="C27" s="307" t="s">
        <v>780</v>
      </c>
      <c r="D27" s="307" t="s">
        <v>778</v>
      </c>
      <c r="E27" s="259" t="s">
        <v>741</v>
      </c>
      <c r="F27" s="259">
        <v>10</v>
      </c>
      <c r="G27" s="282">
        <v>253.33</v>
      </c>
      <c r="H27" s="282">
        <v>253.33</v>
      </c>
      <c r="I27" s="282"/>
      <c r="J27" s="293">
        <f t="shared" si="0"/>
        <v>2533.3000000000002</v>
      </c>
      <c r="K27" s="250"/>
      <c r="L27" s="250"/>
      <c r="M27" s="250"/>
      <c r="N27" s="250"/>
      <c r="O27" s="484"/>
      <c r="P27" s="250"/>
    </row>
    <row r="28" spans="2:16">
      <c r="B28" s="259">
        <f t="shared" si="1"/>
        <v>24</v>
      </c>
      <c r="C28" s="307" t="s">
        <v>781</v>
      </c>
      <c r="D28" s="307" t="s">
        <v>782</v>
      </c>
      <c r="E28" s="259" t="s">
        <v>741</v>
      </c>
      <c r="F28" s="259">
        <v>20</v>
      </c>
      <c r="G28" s="282">
        <v>66</v>
      </c>
      <c r="H28" s="282">
        <v>66</v>
      </c>
      <c r="I28" s="282"/>
      <c r="J28" s="293">
        <f t="shared" si="0"/>
        <v>1320</v>
      </c>
      <c r="K28" s="250"/>
      <c r="L28" s="250"/>
      <c r="M28" s="250"/>
      <c r="N28" s="250"/>
      <c r="O28" s="484"/>
      <c r="P28" s="250"/>
    </row>
    <row r="29" spans="2:16">
      <c r="B29" s="259">
        <f t="shared" si="1"/>
        <v>25</v>
      </c>
      <c r="C29" s="307" t="s">
        <v>783</v>
      </c>
      <c r="D29" s="307" t="s">
        <v>784</v>
      </c>
      <c r="E29" s="259" t="s">
        <v>741</v>
      </c>
      <c r="F29" s="259">
        <v>3</v>
      </c>
      <c r="G29" s="282">
        <v>568.70000000000005</v>
      </c>
      <c r="H29" s="282">
        <v>568.70000000000005</v>
      </c>
      <c r="I29" s="282"/>
      <c r="J29" s="293">
        <f t="shared" si="0"/>
        <v>1706.1000000000001</v>
      </c>
      <c r="K29" s="250"/>
      <c r="L29" s="250"/>
      <c r="M29" s="250"/>
      <c r="N29" s="250"/>
      <c r="O29" s="484"/>
      <c r="P29" s="250"/>
    </row>
    <row r="30" spans="2:16">
      <c r="B30" s="259">
        <f t="shared" si="1"/>
        <v>26</v>
      </c>
      <c r="C30" s="307" t="s">
        <v>785</v>
      </c>
      <c r="D30" s="307" t="s">
        <v>786</v>
      </c>
      <c r="E30" s="259" t="s">
        <v>741</v>
      </c>
      <c r="F30" s="259">
        <f>4*10</f>
        <v>40</v>
      </c>
      <c r="G30" s="282">
        <f>141.24/10</f>
        <v>14.124000000000001</v>
      </c>
      <c r="H30" s="282">
        <f>141.24/10</f>
        <v>14.124000000000001</v>
      </c>
      <c r="I30" s="282"/>
      <c r="J30" s="293">
        <f t="shared" si="0"/>
        <v>564.96</v>
      </c>
      <c r="K30" s="250"/>
      <c r="L30" s="250"/>
      <c r="M30" s="250"/>
      <c r="N30" s="250"/>
      <c r="O30" s="484"/>
      <c r="P30" s="250"/>
    </row>
    <row r="31" spans="2:16">
      <c r="B31" s="259">
        <f t="shared" si="1"/>
        <v>27</v>
      </c>
      <c r="C31" s="307" t="s">
        <v>787</v>
      </c>
      <c r="D31" s="307" t="s">
        <v>788</v>
      </c>
      <c r="E31" s="259" t="s">
        <v>741</v>
      </c>
      <c r="F31" s="259">
        <f>265*10</f>
        <v>2650</v>
      </c>
      <c r="G31" s="282">
        <f>55.66/10</f>
        <v>5.5659999999999998</v>
      </c>
      <c r="H31" s="282">
        <f>55.66/10</f>
        <v>5.5659999999999998</v>
      </c>
      <c r="I31" s="282"/>
      <c r="J31" s="293">
        <f t="shared" si="0"/>
        <v>14749.9</v>
      </c>
      <c r="K31" s="250"/>
      <c r="L31" s="250"/>
      <c r="M31" s="250"/>
      <c r="N31" s="250"/>
      <c r="O31" s="484"/>
      <c r="P31" s="250"/>
    </row>
    <row r="32" spans="2:16">
      <c r="B32" s="259">
        <f t="shared" si="1"/>
        <v>28</v>
      </c>
      <c r="C32" s="307" t="s">
        <v>789</v>
      </c>
      <c r="D32" s="307" t="s">
        <v>790</v>
      </c>
      <c r="E32" s="259" t="s">
        <v>741</v>
      </c>
      <c r="F32" s="259">
        <f>200*5</f>
        <v>1000</v>
      </c>
      <c r="G32" s="282">
        <f>776.82/5</f>
        <v>155.364</v>
      </c>
      <c r="H32" s="282">
        <f>776.82/5</f>
        <v>155.364</v>
      </c>
      <c r="I32" s="282"/>
      <c r="J32" s="293">
        <f t="shared" si="0"/>
        <v>155364</v>
      </c>
      <c r="K32" s="250"/>
      <c r="L32" s="250"/>
      <c r="M32" s="250"/>
      <c r="N32" s="250"/>
      <c r="O32" s="484"/>
      <c r="P32" s="250"/>
    </row>
    <row r="33" spans="2:19">
      <c r="B33" s="259">
        <f t="shared" si="1"/>
        <v>29</v>
      </c>
      <c r="C33" s="307" t="s">
        <v>791</v>
      </c>
      <c r="D33" s="307" t="s">
        <v>792</v>
      </c>
      <c r="E33" s="259" t="s">
        <v>741</v>
      </c>
      <c r="F33" s="259">
        <f>5*10</f>
        <v>50</v>
      </c>
      <c r="G33" s="282">
        <f>147.13/10</f>
        <v>14.712999999999999</v>
      </c>
      <c r="H33" s="282">
        <f>147.13/10</f>
        <v>14.712999999999999</v>
      </c>
      <c r="I33" s="282"/>
      <c r="J33" s="293">
        <f t="shared" si="0"/>
        <v>735.65</v>
      </c>
      <c r="K33" s="250"/>
      <c r="L33" s="250"/>
      <c r="M33" s="250"/>
      <c r="N33" s="250"/>
      <c r="O33" s="484"/>
      <c r="P33" s="250"/>
    </row>
    <row r="34" spans="2:19" s="125" customFormat="1">
      <c r="B34" s="259">
        <f t="shared" si="1"/>
        <v>30</v>
      </c>
      <c r="C34" s="307" t="s">
        <v>793</v>
      </c>
      <c r="D34" s="307" t="s">
        <v>794</v>
      </c>
      <c r="E34" s="259" t="s">
        <v>741</v>
      </c>
      <c r="F34" s="259">
        <f>397*10</f>
        <v>3970</v>
      </c>
      <c r="G34" s="282">
        <f>88.28/10</f>
        <v>8.8279999999999994</v>
      </c>
      <c r="H34" s="282">
        <f>88.28/10</f>
        <v>8.8279999999999994</v>
      </c>
      <c r="I34" s="282"/>
      <c r="J34" s="293">
        <f t="shared" si="0"/>
        <v>35047.159999999996</v>
      </c>
      <c r="K34" s="250"/>
      <c r="L34" s="250"/>
      <c r="M34" s="250"/>
      <c r="N34" s="250"/>
      <c r="O34" s="484"/>
      <c r="P34" s="250"/>
      <c r="Q34" s="682"/>
      <c r="S34" s="267"/>
    </row>
    <row r="35" spans="2:19">
      <c r="B35" s="259">
        <f t="shared" si="1"/>
        <v>31</v>
      </c>
      <c r="C35" s="307" t="s">
        <v>795</v>
      </c>
      <c r="D35" s="307" t="s">
        <v>796</v>
      </c>
      <c r="E35" s="259" t="s">
        <v>741</v>
      </c>
      <c r="F35" s="259">
        <f>365*10</f>
        <v>3650</v>
      </c>
      <c r="G35" s="282">
        <f>52.97/10</f>
        <v>5.2969999999999997</v>
      </c>
      <c r="H35" s="282">
        <f>52.97/10</f>
        <v>5.2969999999999997</v>
      </c>
      <c r="I35" s="282"/>
      <c r="J35" s="293">
        <f t="shared" si="0"/>
        <v>19334.05</v>
      </c>
      <c r="K35" s="250"/>
      <c r="L35" s="250"/>
      <c r="M35" s="250"/>
      <c r="N35" s="250"/>
      <c r="O35" s="484"/>
      <c r="P35" s="250"/>
    </row>
    <row r="36" spans="2:19">
      <c r="B36" s="259">
        <f t="shared" si="1"/>
        <v>32</v>
      </c>
      <c r="C36" s="307" t="s">
        <v>797</v>
      </c>
      <c r="D36" s="307" t="s">
        <v>798</v>
      </c>
      <c r="E36" s="259" t="s">
        <v>741</v>
      </c>
      <c r="F36" s="259">
        <v>15</v>
      </c>
      <c r="G36" s="282">
        <v>73.92</v>
      </c>
      <c r="H36" s="282">
        <v>73.92</v>
      </c>
      <c r="I36" s="282"/>
      <c r="J36" s="293">
        <f t="shared" si="0"/>
        <v>1108.8</v>
      </c>
      <c r="K36" s="250"/>
      <c r="L36" s="250"/>
      <c r="M36" s="250"/>
      <c r="N36" s="250"/>
      <c r="O36" s="484"/>
      <c r="P36" s="250"/>
    </row>
    <row r="37" spans="2:19">
      <c r="B37" s="259">
        <f t="shared" si="1"/>
        <v>33</v>
      </c>
      <c r="C37" s="307" t="s">
        <v>799</v>
      </c>
      <c r="D37" s="307" t="s">
        <v>800</v>
      </c>
      <c r="E37" s="259" t="s">
        <v>741</v>
      </c>
      <c r="F37" s="259">
        <v>30</v>
      </c>
      <c r="G37" s="282">
        <v>629.70000000000005</v>
      </c>
      <c r="H37" s="282">
        <v>629.70000000000005</v>
      </c>
      <c r="I37" s="282"/>
      <c r="J37" s="293">
        <f t="shared" si="0"/>
        <v>18891</v>
      </c>
      <c r="K37" s="250"/>
      <c r="L37" s="250"/>
      <c r="M37" s="250"/>
      <c r="N37" s="250"/>
      <c r="O37" s="484"/>
      <c r="P37" s="250"/>
    </row>
    <row r="38" spans="2:19">
      <c r="B38" s="259">
        <f t="shared" si="1"/>
        <v>34</v>
      </c>
      <c r="C38" s="307" t="s">
        <v>801</v>
      </c>
      <c r="D38" s="307" t="s">
        <v>802</v>
      </c>
      <c r="E38" s="259" t="s">
        <v>741</v>
      </c>
      <c r="F38" s="259">
        <f>17*10</f>
        <v>170</v>
      </c>
      <c r="G38" s="282">
        <f>372.29/10</f>
        <v>37.228999999999999</v>
      </c>
      <c r="H38" s="282">
        <f>372.29/10</f>
        <v>37.228999999999999</v>
      </c>
      <c r="I38" s="282"/>
      <c r="J38" s="293">
        <f t="shared" si="0"/>
        <v>6328.93</v>
      </c>
      <c r="K38" s="250"/>
      <c r="L38" s="250"/>
      <c r="M38" s="250"/>
      <c r="N38" s="250"/>
      <c r="O38" s="484"/>
      <c r="P38" s="250"/>
    </row>
    <row r="39" spans="2:19">
      <c r="B39" s="259">
        <f t="shared" si="1"/>
        <v>35</v>
      </c>
      <c r="C39" s="307" t="s">
        <v>803</v>
      </c>
      <c r="D39" s="307" t="s">
        <v>804</v>
      </c>
      <c r="E39" s="259" t="s">
        <v>741</v>
      </c>
      <c r="F39" s="259">
        <f>226*5</f>
        <v>1130</v>
      </c>
      <c r="G39" s="282">
        <f>35.55/5</f>
        <v>7.1099999999999994</v>
      </c>
      <c r="H39" s="282">
        <f>35.55/5</f>
        <v>7.1099999999999994</v>
      </c>
      <c r="I39" s="282"/>
      <c r="J39" s="293">
        <f t="shared" si="0"/>
        <v>8034.2999999999993</v>
      </c>
      <c r="K39" s="250"/>
      <c r="L39" s="250"/>
      <c r="M39" s="250"/>
      <c r="N39" s="250"/>
      <c r="O39" s="484"/>
      <c r="P39" s="250"/>
    </row>
    <row r="40" spans="2:19">
      <c r="B40" s="259">
        <f t="shared" si="1"/>
        <v>36</v>
      </c>
      <c r="C40" s="307" t="s">
        <v>805</v>
      </c>
      <c r="D40" s="307" t="s">
        <v>806</v>
      </c>
      <c r="E40" s="259" t="s">
        <v>741</v>
      </c>
      <c r="F40" s="259">
        <v>52</v>
      </c>
      <c r="G40" s="282">
        <v>441.89</v>
      </c>
      <c r="H40" s="282">
        <v>441.89</v>
      </c>
      <c r="I40" s="282"/>
      <c r="J40" s="293">
        <f t="shared" si="0"/>
        <v>22978.28</v>
      </c>
      <c r="K40" s="250"/>
      <c r="L40" s="250"/>
      <c r="M40" s="250"/>
      <c r="N40" s="250"/>
      <c r="O40" s="484"/>
      <c r="P40" s="250"/>
    </row>
    <row r="41" spans="2:19">
      <c r="B41" s="259">
        <f t="shared" si="1"/>
        <v>37</v>
      </c>
      <c r="C41" s="307" t="s">
        <v>807</v>
      </c>
      <c r="D41" s="307" t="s">
        <v>808</v>
      </c>
      <c r="E41" s="259" t="s">
        <v>741</v>
      </c>
      <c r="F41" s="259">
        <v>20</v>
      </c>
      <c r="G41" s="282">
        <v>548.48</v>
      </c>
      <c r="H41" s="282">
        <v>548.48</v>
      </c>
      <c r="I41" s="282"/>
      <c r="J41" s="293">
        <f t="shared" si="0"/>
        <v>10969.6</v>
      </c>
      <c r="K41" s="250"/>
      <c r="L41" s="250"/>
      <c r="M41" s="250"/>
      <c r="N41" s="250"/>
      <c r="O41" s="484"/>
      <c r="P41" s="250"/>
    </row>
    <row r="42" spans="2:19">
      <c r="B42" s="259">
        <f t="shared" si="1"/>
        <v>38</v>
      </c>
      <c r="C42" s="307" t="s">
        <v>809</v>
      </c>
      <c r="D42" s="307" t="s">
        <v>810</v>
      </c>
      <c r="E42" s="259" t="s">
        <v>741</v>
      </c>
      <c r="F42" s="259">
        <v>10</v>
      </c>
      <c r="G42" s="282">
        <v>52.97</v>
      </c>
      <c r="H42" s="282">
        <v>52.97</v>
      </c>
      <c r="I42" s="282"/>
      <c r="J42" s="293">
        <f t="shared" si="0"/>
        <v>529.70000000000005</v>
      </c>
      <c r="K42" s="250"/>
      <c r="L42" s="250"/>
      <c r="M42" s="250"/>
      <c r="N42" s="250"/>
      <c r="O42" s="484"/>
      <c r="P42" s="250"/>
    </row>
    <row r="43" spans="2:19">
      <c r="B43" s="259">
        <f t="shared" si="1"/>
        <v>39</v>
      </c>
      <c r="C43" s="307" t="s">
        <v>811</v>
      </c>
      <c r="D43" s="307" t="s">
        <v>812</v>
      </c>
      <c r="E43" s="259" t="s">
        <v>741</v>
      </c>
      <c r="F43" s="259">
        <f>134*10</f>
        <v>1340</v>
      </c>
      <c r="G43" s="282">
        <f>64.74/10</f>
        <v>6.4739999999999993</v>
      </c>
      <c r="H43" s="282">
        <f>64.74/10</f>
        <v>6.4739999999999993</v>
      </c>
      <c r="I43" s="282"/>
      <c r="J43" s="293">
        <f t="shared" si="0"/>
        <v>8675.16</v>
      </c>
      <c r="K43" s="250"/>
      <c r="L43" s="250"/>
      <c r="M43" s="250"/>
      <c r="N43" s="250"/>
      <c r="O43" s="484"/>
      <c r="P43" s="250"/>
    </row>
    <row r="44" spans="2:19">
      <c r="B44" s="259">
        <f t="shared" si="1"/>
        <v>40</v>
      </c>
      <c r="C44" s="307" t="s">
        <v>813</v>
      </c>
      <c r="D44" s="307" t="s">
        <v>814</v>
      </c>
      <c r="E44" s="259" t="s">
        <v>741</v>
      </c>
      <c r="F44" s="259">
        <v>60</v>
      </c>
      <c r="G44" s="282">
        <v>70.62</v>
      </c>
      <c r="H44" s="282">
        <v>70.62</v>
      </c>
      <c r="I44" s="282"/>
      <c r="J44" s="293">
        <f t="shared" si="0"/>
        <v>4237.2000000000007</v>
      </c>
      <c r="K44" s="250"/>
      <c r="L44" s="250"/>
      <c r="M44" s="250"/>
      <c r="N44" s="250"/>
      <c r="O44" s="484"/>
      <c r="P44" s="250"/>
    </row>
    <row r="45" spans="2:19">
      <c r="B45" s="259">
        <f t="shared" si="1"/>
        <v>41</v>
      </c>
      <c r="C45" s="307" t="s">
        <v>815</v>
      </c>
      <c r="D45" s="307" t="s">
        <v>816</v>
      </c>
      <c r="E45" s="259" t="s">
        <v>741</v>
      </c>
      <c r="F45" s="259">
        <v>20</v>
      </c>
      <c r="G45" s="282">
        <v>35.200000000000003</v>
      </c>
      <c r="H45" s="282">
        <v>35.200000000000003</v>
      </c>
      <c r="I45" s="282"/>
      <c r="J45" s="293">
        <f t="shared" si="0"/>
        <v>704</v>
      </c>
      <c r="K45" s="250"/>
      <c r="L45" s="250"/>
      <c r="M45" s="250"/>
      <c r="N45" s="250"/>
      <c r="O45" s="484"/>
      <c r="P45" s="250"/>
    </row>
    <row r="46" spans="2:19">
      <c r="B46" s="259">
        <f t="shared" si="1"/>
        <v>42</v>
      </c>
      <c r="C46" s="307" t="s">
        <v>817</v>
      </c>
      <c r="D46" s="307" t="s">
        <v>818</v>
      </c>
      <c r="E46" s="259" t="s">
        <v>741</v>
      </c>
      <c r="F46" s="259">
        <v>20</v>
      </c>
      <c r="G46" s="282">
        <v>133</v>
      </c>
      <c r="H46" s="282">
        <v>133</v>
      </c>
      <c r="I46" s="282"/>
      <c r="J46" s="293">
        <f t="shared" si="0"/>
        <v>2660</v>
      </c>
      <c r="K46" s="250"/>
      <c r="L46" s="250"/>
      <c r="M46" s="250"/>
      <c r="N46" s="250"/>
      <c r="O46" s="484"/>
      <c r="P46" s="250"/>
    </row>
    <row r="47" spans="2:19">
      <c r="B47" s="478">
        <f t="shared" si="1"/>
        <v>43</v>
      </c>
      <c r="C47" s="307" t="s">
        <v>819</v>
      </c>
      <c r="D47" s="307" t="s">
        <v>820</v>
      </c>
      <c r="E47" s="259" t="s">
        <v>741</v>
      </c>
      <c r="F47" s="259">
        <v>7</v>
      </c>
      <c r="G47" s="282">
        <v>217.73</v>
      </c>
      <c r="H47" s="282">
        <v>217.73</v>
      </c>
      <c r="I47" s="494"/>
      <c r="J47" s="67">
        <f t="shared" si="0"/>
        <v>1524.11</v>
      </c>
      <c r="K47" s="58"/>
      <c r="L47" s="58"/>
      <c r="M47" s="58"/>
      <c r="N47" s="58"/>
      <c r="O47" s="264"/>
      <c r="P47" s="58"/>
    </row>
    <row r="48" spans="2:19">
      <c r="B48" s="478">
        <f t="shared" si="1"/>
        <v>44</v>
      </c>
      <c r="C48" s="307" t="s">
        <v>821</v>
      </c>
      <c r="D48" s="307" t="s">
        <v>822</v>
      </c>
      <c r="E48" s="259" t="s">
        <v>741</v>
      </c>
      <c r="F48" s="259">
        <v>1</v>
      </c>
      <c r="G48" s="282">
        <v>56.43</v>
      </c>
      <c r="H48" s="282">
        <v>56.43</v>
      </c>
      <c r="I48" s="494"/>
      <c r="J48" s="67">
        <f t="shared" si="0"/>
        <v>56.43</v>
      </c>
      <c r="K48" s="58"/>
      <c r="L48" s="58"/>
      <c r="M48" s="58"/>
      <c r="N48" s="58"/>
      <c r="O48" s="264"/>
      <c r="P48" s="58"/>
    </row>
    <row r="49" spans="2:16">
      <c r="B49" s="478">
        <f t="shared" si="1"/>
        <v>45</v>
      </c>
      <c r="C49" s="307" t="s">
        <v>823</v>
      </c>
      <c r="D49" s="307" t="s">
        <v>824</v>
      </c>
      <c r="E49" s="259" t="s">
        <v>741</v>
      </c>
      <c r="F49" s="259">
        <v>20</v>
      </c>
      <c r="G49" s="282">
        <v>56.92</v>
      </c>
      <c r="H49" s="282">
        <v>56.92</v>
      </c>
      <c r="I49" s="494"/>
      <c r="J49" s="67">
        <f t="shared" si="0"/>
        <v>1138.4000000000001</v>
      </c>
      <c r="K49" s="58"/>
      <c r="L49" s="58"/>
      <c r="M49" s="58"/>
      <c r="N49" s="58"/>
      <c r="O49" s="264"/>
      <c r="P49" s="58"/>
    </row>
    <row r="50" spans="2:16">
      <c r="B50" s="478">
        <f t="shared" si="1"/>
        <v>46</v>
      </c>
      <c r="C50" s="307" t="s">
        <v>825</v>
      </c>
      <c r="D50" s="307" t="s">
        <v>826</v>
      </c>
      <c r="E50" s="259" t="s">
        <v>741</v>
      </c>
      <c r="F50" s="259">
        <v>10</v>
      </c>
      <c r="G50" s="282">
        <v>48.62</v>
      </c>
      <c r="H50" s="282">
        <v>48.62</v>
      </c>
      <c r="I50" s="494"/>
      <c r="J50" s="67">
        <f t="shared" si="0"/>
        <v>486.2</v>
      </c>
      <c r="K50" s="58"/>
      <c r="L50" s="58"/>
      <c r="M50" s="58"/>
      <c r="N50" s="58"/>
      <c r="O50" s="264"/>
      <c r="P50" s="58"/>
    </row>
    <row r="51" spans="2:16">
      <c r="B51" s="478">
        <f t="shared" si="1"/>
        <v>47</v>
      </c>
      <c r="C51" s="307" t="s">
        <v>827</v>
      </c>
      <c r="D51" s="307" t="s">
        <v>828</v>
      </c>
      <c r="E51" s="259" t="s">
        <v>741</v>
      </c>
      <c r="F51" s="259">
        <v>4</v>
      </c>
      <c r="G51" s="282">
        <v>4121.04</v>
      </c>
      <c r="H51" s="282">
        <v>4121.04</v>
      </c>
      <c r="I51" s="494"/>
      <c r="J51" s="67">
        <f t="shared" si="0"/>
        <v>16484.16</v>
      </c>
      <c r="K51" s="58"/>
      <c r="L51" s="58"/>
      <c r="M51" s="58"/>
      <c r="N51" s="58"/>
      <c r="O51" s="264"/>
      <c r="P51" s="58"/>
    </row>
    <row r="52" spans="2:16">
      <c r="B52" s="478">
        <f t="shared" si="1"/>
        <v>48</v>
      </c>
      <c r="C52" s="307" t="s">
        <v>829</v>
      </c>
      <c r="D52" s="307" t="s">
        <v>765</v>
      </c>
      <c r="E52" s="259" t="s">
        <v>741</v>
      </c>
      <c r="F52" s="259">
        <v>12</v>
      </c>
      <c r="G52" s="282">
        <v>74.77</v>
      </c>
      <c r="H52" s="282">
        <v>74.77</v>
      </c>
      <c r="I52" s="494"/>
      <c r="J52" s="67">
        <f t="shared" si="0"/>
        <v>897.24</v>
      </c>
      <c r="K52" s="58"/>
      <c r="L52" s="58"/>
      <c r="M52" s="58"/>
      <c r="N52" s="58"/>
      <c r="O52" s="264"/>
      <c r="P52" s="58"/>
    </row>
    <row r="53" spans="2:16">
      <c r="B53" s="478">
        <f t="shared" si="1"/>
        <v>49</v>
      </c>
      <c r="C53" s="307" t="s">
        <v>830</v>
      </c>
      <c r="D53" s="307" t="s">
        <v>831</v>
      </c>
      <c r="E53" s="259" t="s">
        <v>741</v>
      </c>
      <c r="F53" s="259">
        <v>10</v>
      </c>
      <c r="G53" s="282">
        <v>164.78</v>
      </c>
      <c r="H53" s="282">
        <v>164.78</v>
      </c>
      <c r="I53" s="494"/>
      <c r="J53" s="67">
        <f t="shared" si="0"/>
        <v>1647.8</v>
      </c>
      <c r="K53" s="58"/>
      <c r="L53" s="58"/>
      <c r="M53" s="58"/>
      <c r="N53" s="58"/>
      <c r="O53" s="264"/>
      <c r="P53" s="58"/>
    </row>
    <row r="54" spans="2:16">
      <c r="B54" s="478">
        <f t="shared" si="1"/>
        <v>50</v>
      </c>
      <c r="C54" s="307" t="s">
        <v>832</v>
      </c>
      <c r="D54" s="307" t="s">
        <v>833</v>
      </c>
      <c r="E54" s="259" t="s">
        <v>741</v>
      </c>
      <c r="F54" s="259">
        <f>240*10</f>
        <v>2400</v>
      </c>
      <c r="G54" s="282">
        <f>211.86/10</f>
        <v>21.186</v>
      </c>
      <c r="H54" s="282">
        <f>211.86/10</f>
        <v>21.186</v>
      </c>
      <c r="I54" s="494"/>
      <c r="J54" s="67">
        <f t="shared" si="0"/>
        <v>50846.400000000001</v>
      </c>
      <c r="K54" s="58"/>
      <c r="L54" s="58"/>
      <c r="M54" s="58"/>
      <c r="N54" s="58"/>
      <c r="O54" s="264"/>
      <c r="P54" s="58"/>
    </row>
    <row r="55" spans="2:16">
      <c r="B55" s="478">
        <f t="shared" si="1"/>
        <v>51</v>
      </c>
      <c r="C55" s="307" t="s">
        <v>834</v>
      </c>
      <c r="D55" s="307" t="s">
        <v>835</v>
      </c>
      <c r="E55" s="259" t="s">
        <v>741</v>
      </c>
      <c r="F55" s="259">
        <v>10</v>
      </c>
      <c r="G55" s="282">
        <v>44.73</v>
      </c>
      <c r="H55" s="282">
        <v>44.73</v>
      </c>
      <c r="I55" s="494"/>
      <c r="J55" s="67">
        <f t="shared" si="0"/>
        <v>447.29999999999995</v>
      </c>
      <c r="K55" s="58"/>
      <c r="L55" s="58"/>
      <c r="M55" s="58"/>
      <c r="N55" s="58"/>
      <c r="O55" s="264"/>
      <c r="P55" s="58"/>
    </row>
    <row r="56" spans="2:16">
      <c r="B56" s="478">
        <f t="shared" si="1"/>
        <v>52</v>
      </c>
      <c r="C56" s="307" t="s">
        <v>836</v>
      </c>
      <c r="D56" s="307" t="s">
        <v>837</v>
      </c>
      <c r="E56" s="259" t="s">
        <v>741</v>
      </c>
      <c r="F56" s="259">
        <v>10</v>
      </c>
      <c r="G56" s="282">
        <v>72.97</v>
      </c>
      <c r="H56" s="282">
        <v>72.97</v>
      </c>
      <c r="I56" s="494"/>
      <c r="J56" s="67">
        <f t="shared" si="0"/>
        <v>729.7</v>
      </c>
      <c r="K56" s="58"/>
      <c r="L56" s="58"/>
      <c r="M56" s="58"/>
      <c r="N56" s="58"/>
      <c r="O56" s="264"/>
      <c r="P56" s="58"/>
    </row>
    <row r="57" spans="2:16">
      <c r="B57" s="478">
        <f t="shared" si="1"/>
        <v>53</v>
      </c>
      <c r="C57" s="307" t="s">
        <v>838</v>
      </c>
      <c r="D57" s="307" t="s">
        <v>839</v>
      </c>
      <c r="E57" s="259" t="s">
        <v>741</v>
      </c>
      <c r="F57" s="259">
        <f>30*5</f>
        <v>150</v>
      </c>
      <c r="G57" s="282">
        <f>559.59/5</f>
        <v>111.91800000000001</v>
      </c>
      <c r="H57" s="282">
        <f>559.59/5</f>
        <v>111.91800000000001</v>
      </c>
      <c r="I57" s="494"/>
      <c r="J57" s="67">
        <f t="shared" si="0"/>
        <v>16787.7</v>
      </c>
      <c r="K57" s="58"/>
      <c r="L57" s="58"/>
      <c r="M57" s="58"/>
      <c r="N57" s="58"/>
      <c r="O57" s="264"/>
      <c r="P57" s="58"/>
    </row>
    <row r="58" spans="2:16">
      <c r="B58" s="478">
        <f t="shared" si="1"/>
        <v>54</v>
      </c>
      <c r="C58" s="307" t="s">
        <v>840</v>
      </c>
      <c r="D58" s="307" t="s">
        <v>841</v>
      </c>
      <c r="E58" s="259" t="s">
        <v>741</v>
      </c>
      <c r="F58" s="259">
        <f>40*5</f>
        <v>200</v>
      </c>
      <c r="G58" s="282">
        <f>137.5/5</f>
        <v>27.5</v>
      </c>
      <c r="H58" s="282">
        <f>137.5/5</f>
        <v>27.5</v>
      </c>
      <c r="I58" s="494"/>
      <c r="J58" s="67">
        <f t="shared" si="0"/>
        <v>5500</v>
      </c>
      <c r="K58" s="58"/>
      <c r="L58" s="58"/>
      <c r="M58" s="58"/>
      <c r="N58" s="58"/>
      <c r="O58" s="264"/>
      <c r="P58" s="58"/>
    </row>
    <row r="59" spans="2:16">
      <c r="B59" s="478">
        <f t="shared" si="1"/>
        <v>55</v>
      </c>
      <c r="C59" s="307" t="s">
        <v>842</v>
      </c>
      <c r="D59" s="307" t="s">
        <v>839</v>
      </c>
      <c r="E59" s="259" t="s">
        <v>741</v>
      </c>
      <c r="F59" s="259">
        <v>5</v>
      </c>
      <c r="G59" s="282">
        <v>973.48</v>
      </c>
      <c r="H59" s="282">
        <v>973.48</v>
      </c>
      <c r="I59" s="494"/>
      <c r="J59" s="67">
        <f t="shared" si="0"/>
        <v>4867.3999999999996</v>
      </c>
      <c r="K59" s="58"/>
      <c r="L59" s="58"/>
      <c r="M59" s="58"/>
      <c r="N59" s="58"/>
      <c r="O59" s="264"/>
      <c r="P59" s="58"/>
    </row>
    <row r="60" spans="2:16">
      <c r="B60" s="478">
        <f t="shared" si="1"/>
        <v>56</v>
      </c>
      <c r="C60" s="307" t="s">
        <v>843</v>
      </c>
      <c r="D60" s="307" t="s">
        <v>844</v>
      </c>
      <c r="E60" s="259" t="s">
        <v>741</v>
      </c>
      <c r="F60" s="259">
        <f>520*10</f>
        <v>5200</v>
      </c>
      <c r="G60" s="282">
        <f>17.38/10</f>
        <v>1.738</v>
      </c>
      <c r="H60" s="282">
        <f>17.38/10</f>
        <v>1.738</v>
      </c>
      <c r="I60" s="494"/>
      <c r="J60" s="67">
        <f t="shared" si="0"/>
        <v>9037.6</v>
      </c>
      <c r="K60" s="58"/>
      <c r="L60" s="58"/>
      <c r="M60" s="58"/>
      <c r="N60" s="58"/>
      <c r="O60" s="264"/>
      <c r="P60" s="58"/>
    </row>
    <row r="61" spans="2:16">
      <c r="B61" s="478">
        <f t="shared" si="1"/>
        <v>57</v>
      </c>
      <c r="C61" s="307" t="s">
        <v>845</v>
      </c>
      <c r="D61" s="307" t="s">
        <v>846</v>
      </c>
      <c r="E61" s="259" t="s">
        <v>741</v>
      </c>
      <c r="F61" s="259">
        <v>40</v>
      </c>
      <c r="G61" s="282">
        <v>123.59</v>
      </c>
      <c r="H61" s="282">
        <v>123.59</v>
      </c>
      <c r="I61" s="494"/>
      <c r="J61" s="67">
        <f t="shared" si="0"/>
        <v>4943.6000000000004</v>
      </c>
      <c r="K61" s="58"/>
      <c r="L61" s="58"/>
      <c r="M61" s="58"/>
      <c r="N61" s="58"/>
      <c r="O61" s="264"/>
      <c r="P61" s="58"/>
    </row>
    <row r="62" spans="2:16">
      <c r="B62" s="478">
        <f t="shared" si="1"/>
        <v>58</v>
      </c>
      <c r="C62" s="307" t="s">
        <v>847</v>
      </c>
      <c r="D62" s="307" t="s">
        <v>848</v>
      </c>
      <c r="E62" s="259" t="s">
        <v>741</v>
      </c>
      <c r="F62" s="259">
        <v>22</v>
      </c>
      <c r="G62" s="282">
        <v>29.43</v>
      </c>
      <c r="H62" s="282">
        <v>29.43</v>
      </c>
      <c r="I62" s="494"/>
      <c r="J62" s="67">
        <f t="shared" si="0"/>
        <v>647.46</v>
      </c>
      <c r="K62" s="58"/>
      <c r="L62" s="58"/>
      <c r="M62" s="58"/>
      <c r="N62" s="58"/>
      <c r="O62" s="264"/>
      <c r="P62" s="58"/>
    </row>
    <row r="63" spans="2:16">
      <c r="B63" s="478">
        <f t="shared" si="1"/>
        <v>59</v>
      </c>
      <c r="C63" s="307" t="s">
        <v>849</v>
      </c>
      <c r="D63" s="307" t="s">
        <v>850</v>
      </c>
      <c r="E63" s="259" t="s">
        <v>360</v>
      </c>
      <c r="F63" s="259">
        <v>100</v>
      </c>
      <c r="G63" s="282">
        <v>292.22000000000003</v>
      </c>
      <c r="H63" s="282">
        <v>292.22000000000003</v>
      </c>
      <c r="I63" s="494"/>
      <c r="J63" s="67">
        <f t="shared" si="0"/>
        <v>29222.000000000004</v>
      </c>
      <c r="K63" s="58"/>
      <c r="L63" s="58"/>
      <c r="M63" s="58"/>
      <c r="N63" s="58"/>
      <c r="O63" s="264"/>
      <c r="P63" s="58"/>
    </row>
    <row r="64" spans="2:16">
      <c r="B64" s="478">
        <f t="shared" si="1"/>
        <v>60</v>
      </c>
      <c r="C64" s="307" t="s">
        <v>851</v>
      </c>
      <c r="D64" s="307" t="s">
        <v>852</v>
      </c>
      <c r="E64" s="259" t="s">
        <v>741</v>
      </c>
      <c r="F64" s="259">
        <f>144*10</f>
        <v>1440</v>
      </c>
      <c r="G64" s="282">
        <f>47.63/10</f>
        <v>4.7629999999999999</v>
      </c>
      <c r="H64" s="282">
        <f>47.63/10</f>
        <v>4.7629999999999999</v>
      </c>
      <c r="I64" s="494"/>
      <c r="J64" s="67">
        <f t="shared" si="0"/>
        <v>6858.72</v>
      </c>
      <c r="K64" s="58"/>
      <c r="L64" s="58"/>
      <c r="M64" s="58"/>
      <c r="N64" s="58"/>
      <c r="O64" s="264"/>
      <c r="P64" s="58"/>
    </row>
    <row r="65" spans="2:16">
      <c r="B65" s="478">
        <f t="shared" si="1"/>
        <v>61</v>
      </c>
      <c r="C65" s="307" t="s">
        <v>853</v>
      </c>
      <c r="D65" s="307" t="s">
        <v>854</v>
      </c>
      <c r="E65" s="259" t="s">
        <v>741</v>
      </c>
      <c r="F65" s="259">
        <v>5</v>
      </c>
      <c r="G65" s="282">
        <v>204.6</v>
      </c>
      <c r="H65" s="282">
        <v>204.6</v>
      </c>
      <c r="I65" s="494"/>
      <c r="J65" s="67">
        <f t="shared" si="0"/>
        <v>1023</v>
      </c>
      <c r="K65" s="58"/>
      <c r="L65" s="58"/>
      <c r="M65" s="58"/>
      <c r="N65" s="58"/>
      <c r="O65" s="264"/>
      <c r="P65" s="58"/>
    </row>
    <row r="66" spans="2:16">
      <c r="B66" s="478">
        <f t="shared" si="1"/>
        <v>62</v>
      </c>
      <c r="C66" s="307" t="s">
        <v>855</v>
      </c>
      <c r="D66" s="307" t="s">
        <v>856</v>
      </c>
      <c r="E66" s="259" t="s">
        <v>741</v>
      </c>
      <c r="F66" s="259">
        <v>10</v>
      </c>
      <c r="G66" s="282">
        <v>89.64</v>
      </c>
      <c r="H66" s="282">
        <v>89.64</v>
      </c>
      <c r="I66" s="494"/>
      <c r="J66" s="67">
        <f t="shared" si="0"/>
        <v>896.4</v>
      </c>
      <c r="K66" s="58"/>
      <c r="L66" s="58"/>
      <c r="M66" s="58"/>
      <c r="N66" s="58"/>
      <c r="O66" s="264"/>
      <c r="P66" s="58"/>
    </row>
    <row r="67" spans="2:16">
      <c r="B67" s="478">
        <f t="shared" si="1"/>
        <v>63</v>
      </c>
      <c r="C67" s="307" t="s">
        <v>857</v>
      </c>
      <c r="D67" s="307" t="s">
        <v>858</v>
      </c>
      <c r="E67" s="259" t="s">
        <v>741</v>
      </c>
      <c r="F67" s="259">
        <v>2</v>
      </c>
      <c r="G67" s="282">
        <v>105.22</v>
      </c>
      <c r="H67" s="282">
        <v>105.22</v>
      </c>
      <c r="I67" s="494"/>
      <c r="J67" s="67">
        <f t="shared" si="0"/>
        <v>210.44</v>
      </c>
      <c r="K67" s="58"/>
      <c r="L67" s="58"/>
      <c r="M67" s="58"/>
      <c r="N67" s="58"/>
      <c r="O67" s="264"/>
      <c r="P67" s="58"/>
    </row>
    <row r="68" spans="2:16">
      <c r="B68" s="478">
        <f t="shared" si="1"/>
        <v>64</v>
      </c>
      <c r="C68" s="307" t="s">
        <v>859</v>
      </c>
      <c r="D68" s="307" t="s">
        <v>860</v>
      </c>
      <c r="E68" s="259" t="s">
        <v>741</v>
      </c>
      <c r="F68" s="259">
        <v>29</v>
      </c>
      <c r="G68" s="282">
        <v>135.36000000000001</v>
      </c>
      <c r="H68" s="282">
        <v>135.36000000000001</v>
      </c>
      <c r="I68" s="494"/>
      <c r="J68" s="67">
        <f t="shared" si="0"/>
        <v>3925.4400000000005</v>
      </c>
      <c r="K68" s="58"/>
      <c r="L68" s="58"/>
      <c r="M68" s="58"/>
      <c r="N68" s="58"/>
      <c r="O68" s="264"/>
      <c r="P68" s="58"/>
    </row>
    <row r="69" spans="2:16">
      <c r="B69" s="478">
        <f t="shared" si="1"/>
        <v>65</v>
      </c>
      <c r="C69" s="307" t="s">
        <v>861</v>
      </c>
      <c r="D69" s="307" t="s">
        <v>862</v>
      </c>
      <c r="E69" s="259" t="s">
        <v>741</v>
      </c>
      <c r="F69" s="259">
        <v>5</v>
      </c>
      <c r="G69" s="282">
        <v>88.28</v>
      </c>
      <c r="H69" s="282">
        <v>88.28</v>
      </c>
      <c r="I69" s="494"/>
      <c r="J69" s="67">
        <f t="shared" si="0"/>
        <v>441.4</v>
      </c>
      <c r="K69" s="58"/>
      <c r="L69" s="58"/>
      <c r="M69" s="58"/>
      <c r="N69" s="58"/>
      <c r="O69" s="264"/>
      <c r="P69" s="58"/>
    </row>
    <row r="70" spans="2:16">
      <c r="B70" s="478">
        <f t="shared" si="1"/>
        <v>66</v>
      </c>
      <c r="C70" s="307" t="s">
        <v>863</v>
      </c>
      <c r="D70" s="307" t="s">
        <v>864</v>
      </c>
      <c r="E70" s="259" t="s">
        <v>741</v>
      </c>
      <c r="F70" s="259">
        <v>14</v>
      </c>
      <c r="G70" s="282">
        <v>91.81</v>
      </c>
      <c r="H70" s="282">
        <v>91.81</v>
      </c>
      <c r="I70" s="494"/>
      <c r="J70" s="67">
        <f t="shared" ref="J70:J115" si="2">H70*F70</f>
        <v>1285.3400000000001</v>
      </c>
      <c r="K70" s="58"/>
      <c r="L70" s="58"/>
      <c r="M70" s="58"/>
      <c r="N70" s="58"/>
      <c r="O70" s="264"/>
      <c r="P70" s="58"/>
    </row>
    <row r="71" spans="2:16">
      <c r="B71" s="478">
        <f t="shared" ref="B71:B115" si="3">1+B70</f>
        <v>67</v>
      </c>
      <c r="C71" s="307" t="s">
        <v>865</v>
      </c>
      <c r="D71" s="307" t="s">
        <v>866</v>
      </c>
      <c r="E71" s="259" t="s">
        <v>741</v>
      </c>
      <c r="F71" s="259">
        <v>10</v>
      </c>
      <c r="G71" s="282">
        <v>173.02</v>
      </c>
      <c r="H71" s="282">
        <v>173.02</v>
      </c>
      <c r="I71" s="494"/>
      <c r="J71" s="67">
        <f t="shared" si="2"/>
        <v>1730.2</v>
      </c>
      <c r="K71" s="58"/>
      <c r="L71" s="58"/>
      <c r="M71" s="58"/>
      <c r="N71" s="58"/>
      <c r="O71" s="264"/>
      <c r="P71" s="58"/>
    </row>
    <row r="72" spans="2:16">
      <c r="B72" s="478">
        <f t="shared" si="3"/>
        <v>68</v>
      </c>
      <c r="C72" s="307" t="s">
        <v>867</v>
      </c>
      <c r="D72" s="307" t="s">
        <v>868</v>
      </c>
      <c r="E72" s="259" t="s">
        <v>741</v>
      </c>
      <c r="F72" s="259">
        <v>50</v>
      </c>
      <c r="G72" s="282">
        <v>30.72</v>
      </c>
      <c r="H72" s="282">
        <v>30.72</v>
      </c>
      <c r="I72" s="494"/>
      <c r="J72" s="67">
        <f t="shared" si="2"/>
        <v>1536</v>
      </c>
      <c r="K72" s="58"/>
      <c r="L72" s="58"/>
      <c r="M72" s="58"/>
      <c r="N72" s="58"/>
      <c r="O72" s="264"/>
      <c r="P72" s="58"/>
    </row>
    <row r="73" spans="2:16">
      <c r="B73" s="478">
        <f t="shared" si="3"/>
        <v>69</v>
      </c>
      <c r="C73" s="307" t="s">
        <v>869</v>
      </c>
      <c r="D73" s="307" t="s">
        <v>868</v>
      </c>
      <c r="E73" s="259" t="s">
        <v>741</v>
      </c>
      <c r="F73" s="259">
        <v>20</v>
      </c>
      <c r="G73" s="282">
        <v>67.09</v>
      </c>
      <c r="H73" s="282">
        <v>67.09</v>
      </c>
      <c r="I73" s="494"/>
      <c r="J73" s="67">
        <f t="shared" si="2"/>
        <v>1341.8000000000002</v>
      </c>
      <c r="K73" s="58"/>
      <c r="L73" s="58"/>
      <c r="M73" s="58"/>
      <c r="N73" s="58"/>
      <c r="O73" s="264"/>
      <c r="P73" s="58"/>
    </row>
    <row r="74" spans="2:16">
      <c r="B74" s="478">
        <f t="shared" si="3"/>
        <v>70</v>
      </c>
      <c r="C74" s="307" t="s">
        <v>870</v>
      </c>
      <c r="D74" s="307" t="s">
        <v>871</v>
      </c>
      <c r="E74" s="259" t="s">
        <v>741</v>
      </c>
      <c r="F74" s="259">
        <v>100</v>
      </c>
      <c r="G74" s="282">
        <v>66.03</v>
      </c>
      <c r="H74" s="282">
        <v>66.03</v>
      </c>
      <c r="I74" s="494"/>
      <c r="J74" s="67">
        <f t="shared" si="2"/>
        <v>6603</v>
      </c>
      <c r="K74" s="58"/>
      <c r="L74" s="58"/>
      <c r="M74" s="58"/>
      <c r="N74" s="58"/>
      <c r="O74" s="264"/>
      <c r="P74" s="58"/>
    </row>
    <row r="75" spans="2:16">
      <c r="B75" s="478">
        <f t="shared" si="3"/>
        <v>71</v>
      </c>
      <c r="C75" s="307" t="s">
        <v>872</v>
      </c>
      <c r="D75" s="307" t="s">
        <v>873</v>
      </c>
      <c r="E75" s="259" t="s">
        <v>741</v>
      </c>
      <c r="F75" s="259">
        <f>27*30</f>
        <v>810</v>
      </c>
      <c r="G75" s="282">
        <f>194.21/30</f>
        <v>6.4736666666666673</v>
      </c>
      <c r="H75" s="282">
        <f>194.21/30</f>
        <v>6.4736666666666673</v>
      </c>
      <c r="I75" s="494"/>
      <c r="J75" s="67">
        <f t="shared" si="2"/>
        <v>5243.670000000001</v>
      </c>
      <c r="K75" s="58"/>
      <c r="L75" s="58"/>
      <c r="M75" s="58"/>
      <c r="N75" s="58"/>
      <c r="O75" s="264"/>
      <c r="P75" s="58"/>
    </row>
    <row r="76" spans="2:16">
      <c r="B76" s="478">
        <f t="shared" si="3"/>
        <v>72</v>
      </c>
      <c r="C76" s="307" t="s">
        <v>874</v>
      </c>
      <c r="D76" s="307" t="s">
        <v>873</v>
      </c>
      <c r="E76" s="259" t="s">
        <v>741</v>
      </c>
      <c r="F76" s="259">
        <v>20</v>
      </c>
      <c r="G76" s="282">
        <v>38.5</v>
      </c>
      <c r="H76" s="282">
        <v>38.5</v>
      </c>
      <c r="I76" s="494"/>
      <c r="J76" s="67">
        <f t="shared" si="2"/>
        <v>770</v>
      </c>
      <c r="K76" s="58"/>
      <c r="L76" s="58"/>
      <c r="M76" s="58"/>
      <c r="N76" s="58"/>
      <c r="O76" s="264"/>
      <c r="P76" s="58"/>
    </row>
    <row r="77" spans="2:16">
      <c r="B77" s="478">
        <f t="shared" si="3"/>
        <v>73</v>
      </c>
      <c r="C77" s="307" t="s">
        <v>875</v>
      </c>
      <c r="D77" s="307" t="s">
        <v>873</v>
      </c>
      <c r="E77" s="259" t="s">
        <v>360</v>
      </c>
      <c r="F77" s="259">
        <v>500</v>
      </c>
      <c r="G77" s="282">
        <v>107.8</v>
      </c>
      <c r="H77" s="282">
        <v>107.8</v>
      </c>
      <c r="I77" s="494"/>
      <c r="J77" s="67">
        <f t="shared" si="2"/>
        <v>53900</v>
      </c>
      <c r="K77" s="58"/>
      <c r="L77" s="58"/>
      <c r="M77" s="58"/>
      <c r="N77" s="58"/>
      <c r="O77" s="264"/>
      <c r="P77" s="58"/>
    </row>
    <row r="78" spans="2:16">
      <c r="B78" s="478">
        <f t="shared" si="3"/>
        <v>74</v>
      </c>
      <c r="C78" s="307" t="s">
        <v>876</v>
      </c>
      <c r="D78" s="307" t="s">
        <v>877</v>
      </c>
      <c r="E78" s="259" t="s">
        <v>741</v>
      </c>
      <c r="F78" s="259">
        <f>10*5</f>
        <v>50</v>
      </c>
      <c r="G78" s="282">
        <f>165.81/5</f>
        <v>33.161999999999999</v>
      </c>
      <c r="H78" s="282">
        <f>165.81/5</f>
        <v>33.161999999999999</v>
      </c>
      <c r="I78" s="494"/>
      <c r="J78" s="67">
        <f t="shared" si="2"/>
        <v>1658.1</v>
      </c>
      <c r="K78" s="58"/>
      <c r="L78" s="58"/>
      <c r="M78" s="58"/>
      <c r="N78" s="58"/>
      <c r="O78" s="264"/>
      <c r="P78" s="58"/>
    </row>
    <row r="79" spans="2:16">
      <c r="B79" s="478">
        <f t="shared" si="3"/>
        <v>75</v>
      </c>
      <c r="C79" s="307" t="s">
        <v>878</v>
      </c>
      <c r="D79" s="307" t="s">
        <v>877</v>
      </c>
      <c r="E79" s="259" t="s">
        <v>741</v>
      </c>
      <c r="F79" s="259">
        <v>40</v>
      </c>
      <c r="G79" s="282">
        <v>298.43</v>
      </c>
      <c r="H79" s="282">
        <v>298.43</v>
      </c>
      <c r="I79" s="494"/>
      <c r="J79" s="67">
        <f t="shared" si="2"/>
        <v>11937.2</v>
      </c>
      <c r="K79" s="58"/>
      <c r="L79" s="58"/>
      <c r="M79" s="58"/>
      <c r="N79" s="58"/>
      <c r="O79" s="264"/>
      <c r="P79" s="58"/>
    </row>
    <row r="80" spans="2:16">
      <c r="B80" s="478">
        <f t="shared" si="3"/>
        <v>76</v>
      </c>
      <c r="C80" s="307" t="s">
        <v>879</v>
      </c>
      <c r="D80" s="307" t="s">
        <v>880</v>
      </c>
      <c r="E80" s="259" t="s">
        <v>360</v>
      </c>
      <c r="F80" s="259">
        <v>60</v>
      </c>
      <c r="G80" s="282">
        <v>105.93</v>
      </c>
      <c r="H80" s="282">
        <v>105.93</v>
      </c>
      <c r="I80" s="494"/>
      <c r="J80" s="67">
        <f t="shared" si="2"/>
        <v>6355.8</v>
      </c>
      <c r="K80" s="58"/>
      <c r="L80" s="58"/>
      <c r="M80" s="58"/>
      <c r="N80" s="58"/>
      <c r="O80" s="264"/>
      <c r="P80" s="58"/>
    </row>
    <row r="81" spans="2:16">
      <c r="B81" s="478">
        <f t="shared" si="3"/>
        <v>77</v>
      </c>
      <c r="C81" s="307" t="s">
        <v>881</v>
      </c>
      <c r="D81" s="307" t="s">
        <v>882</v>
      </c>
      <c r="E81" s="259" t="s">
        <v>741</v>
      </c>
      <c r="F81" s="259">
        <f>135*10</f>
        <v>1350</v>
      </c>
      <c r="G81" s="282">
        <f>105.93/10</f>
        <v>10.593</v>
      </c>
      <c r="H81" s="282">
        <f>105.93/10</f>
        <v>10.593</v>
      </c>
      <c r="I81" s="494"/>
      <c r="J81" s="67">
        <f t="shared" si="2"/>
        <v>14300.55</v>
      </c>
      <c r="K81" s="58"/>
      <c r="L81" s="58"/>
      <c r="M81" s="58"/>
      <c r="N81" s="58"/>
      <c r="O81" s="264"/>
      <c r="P81" s="58"/>
    </row>
    <row r="82" spans="2:16">
      <c r="B82" s="478">
        <f t="shared" si="3"/>
        <v>78</v>
      </c>
      <c r="C82" s="307" t="s">
        <v>883</v>
      </c>
      <c r="D82" s="307" t="s">
        <v>884</v>
      </c>
      <c r="E82" s="259" t="s">
        <v>741</v>
      </c>
      <c r="F82" s="259">
        <v>500</v>
      </c>
      <c r="G82" s="282">
        <f>18.7/10</f>
        <v>1.8699999999999999</v>
      </c>
      <c r="H82" s="282">
        <f>18.7/10</f>
        <v>1.8699999999999999</v>
      </c>
      <c r="I82" s="494"/>
      <c r="J82" s="67">
        <f t="shared" si="2"/>
        <v>934.99999999999989</v>
      </c>
      <c r="K82" s="58"/>
      <c r="L82" s="58"/>
      <c r="M82" s="58"/>
      <c r="N82" s="58"/>
      <c r="O82" s="264"/>
      <c r="P82" s="58"/>
    </row>
    <row r="83" spans="2:16">
      <c r="B83" s="478">
        <f t="shared" si="3"/>
        <v>79</v>
      </c>
      <c r="C83" s="307" t="s">
        <v>885</v>
      </c>
      <c r="D83" s="307" t="s">
        <v>886</v>
      </c>
      <c r="E83" s="259" t="s">
        <v>741</v>
      </c>
      <c r="F83" s="259">
        <v>200</v>
      </c>
      <c r="G83" s="282">
        <f>76.51/10</f>
        <v>7.6510000000000007</v>
      </c>
      <c r="H83" s="282">
        <f>76.51/10</f>
        <v>7.6510000000000007</v>
      </c>
      <c r="I83" s="494"/>
      <c r="J83" s="67">
        <f t="shared" si="2"/>
        <v>1530.2</v>
      </c>
      <c r="K83" s="58"/>
      <c r="L83" s="58"/>
      <c r="M83" s="58"/>
      <c r="N83" s="58"/>
      <c r="O83" s="264"/>
      <c r="P83" s="58"/>
    </row>
    <row r="84" spans="2:16">
      <c r="B84" s="478">
        <f t="shared" si="3"/>
        <v>80</v>
      </c>
      <c r="C84" s="307" t="s">
        <v>887</v>
      </c>
      <c r="D84" s="307" t="s">
        <v>888</v>
      </c>
      <c r="E84" s="259" t="s">
        <v>741</v>
      </c>
      <c r="F84" s="259">
        <f>110*10</f>
        <v>1100</v>
      </c>
      <c r="G84" s="282">
        <f>72.97/10</f>
        <v>7.2969999999999997</v>
      </c>
      <c r="H84" s="282">
        <f>72.97/10</f>
        <v>7.2969999999999997</v>
      </c>
      <c r="I84" s="494"/>
      <c r="J84" s="67">
        <f t="shared" si="2"/>
        <v>8026.7</v>
      </c>
      <c r="K84" s="58"/>
      <c r="L84" s="58"/>
      <c r="M84" s="58"/>
      <c r="N84" s="58"/>
      <c r="O84" s="264"/>
      <c r="P84" s="58"/>
    </row>
    <row r="85" spans="2:16">
      <c r="B85" s="478">
        <f t="shared" si="3"/>
        <v>81</v>
      </c>
      <c r="C85" s="307" t="s">
        <v>889</v>
      </c>
      <c r="D85" s="307" t="s">
        <v>890</v>
      </c>
      <c r="E85" s="259" t="s">
        <v>741</v>
      </c>
      <c r="F85" s="259">
        <f>105*10</f>
        <v>1050</v>
      </c>
      <c r="G85" s="282">
        <f>129.47/10</f>
        <v>12.946999999999999</v>
      </c>
      <c r="H85" s="282">
        <f>129.47/10</f>
        <v>12.946999999999999</v>
      </c>
      <c r="I85" s="494"/>
      <c r="J85" s="67">
        <f t="shared" si="2"/>
        <v>13594.349999999999</v>
      </c>
      <c r="K85" s="58"/>
      <c r="L85" s="58"/>
      <c r="M85" s="58"/>
      <c r="N85" s="58"/>
      <c r="O85" s="264"/>
      <c r="P85" s="58"/>
    </row>
    <row r="86" spans="2:16">
      <c r="B86" s="478">
        <f t="shared" si="3"/>
        <v>82</v>
      </c>
      <c r="C86" s="307" t="s">
        <v>891</v>
      </c>
      <c r="D86" s="307" t="s">
        <v>892</v>
      </c>
      <c r="E86" s="259" t="s">
        <v>741</v>
      </c>
      <c r="F86" s="259">
        <v>20</v>
      </c>
      <c r="G86" s="282">
        <v>164.78</v>
      </c>
      <c r="H86" s="282">
        <v>164.78</v>
      </c>
      <c r="I86" s="494"/>
      <c r="J86" s="67">
        <f t="shared" si="2"/>
        <v>3295.6</v>
      </c>
      <c r="K86" s="58"/>
      <c r="L86" s="58"/>
      <c r="M86" s="58"/>
      <c r="N86" s="58"/>
      <c r="O86" s="264"/>
      <c r="P86" s="58"/>
    </row>
    <row r="87" spans="2:16">
      <c r="B87" s="259">
        <f t="shared" si="3"/>
        <v>83</v>
      </c>
      <c r="C87" s="307" t="s">
        <v>893</v>
      </c>
      <c r="D87" s="307" t="s">
        <v>894</v>
      </c>
      <c r="E87" s="259" t="s">
        <v>741</v>
      </c>
      <c r="F87" s="259">
        <f>172-172</f>
        <v>0</v>
      </c>
      <c r="G87" s="282">
        <v>188.32</v>
      </c>
      <c r="H87" s="282">
        <v>188.32</v>
      </c>
      <c r="I87" s="282"/>
      <c r="J87" s="293">
        <f t="shared" si="2"/>
        <v>0</v>
      </c>
      <c r="K87" s="250"/>
      <c r="L87" s="250"/>
      <c r="M87" s="250"/>
      <c r="N87" s="250"/>
      <c r="O87" s="484"/>
      <c r="P87" s="250"/>
    </row>
    <row r="88" spans="2:16">
      <c r="B88" s="259">
        <f t="shared" si="3"/>
        <v>84</v>
      </c>
      <c r="C88" s="307" t="s">
        <v>895</v>
      </c>
      <c r="D88" s="307" t="s">
        <v>894</v>
      </c>
      <c r="E88" s="259" t="s">
        <v>741</v>
      </c>
      <c r="F88" s="259">
        <v>86</v>
      </c>
      <c r="G88" s="282">
        <v>250.06</v>
      </c>
      <c r="H88" s="282">
        <v>250.06</v>
      </c>
      <c r="I88" s="282"/>
      <c r="J88" s="293">
        <f t="shared" si="2"/>
        <v>21505.16</v>
      </c>
      <c r="K88" s="250"/>
      <c r="L88" s="250"/>
      <c r="M88" s="250"/>
      <c r="N88" s="250"/>
      <c r="O88" s="484"/>
      <c r="P88" s="250"/>
    </row>
    <row r="89" spans="2:16">
      <c r="B89" s="259">
        <f t="shared" si="3"/>
        <v>85</v>
      </c>
      <c r="C89" s="307" t="s">
        <v>896</v>
      </c>
      <c r="D89" s="307" t="s">
        <v>897</v>
      </c>
      <c r="E89" s="259" t="s">
        <v>741</v>
      </c>
      <c r="F89" s="259">
        <f>30*5</f>
        <v>150</v>
      </c>
      <c r="G89" s="282">
        <f>72.66/5</f>
        <v>14.532</v>
      </c>
      <c r="H89" s="282">
        <f>72.66/5</f>
        <v>14.532</v>
      </c>
      <c r="I89" s="282"/>
      <c r="J89" s="293">
        <f t="shared" si="2"/>
        <v>2179.8000000000002</v>
      </c>
      <c r="K89" s="250"/>
      <c r="L89" s="250"/>
      <c r="M89" s="250"/>
      <c r="N89" s="250"/>
      <c r="O89" s="484"/>
      <c r="P89" s="250"/>
    </row>
    <row r="90" spans="2:16">
      <c r="B90" s="259">
        <f t="shared" si="3"/>
        <v>86</v>
      </c>
      <c r="C90" s="307" t="s">
        <v>898</v>
      </c>
      <c r="D90" s="307" t="s">
        <v>899</v>
      </c>
      <c r="E90" s="259" t="s">
        <v>741</v>
      </c>
      <c r="F90" s="259">
        <f>55*10</f>
        <v>550</v>
      </c>
      <c r="G90" s="282">
        <f>23.42/10</f>
        <v>2.3420000000000001</v>
      </c>
      <c r="H90" s="282">
        <f>23.42/10</f>
        <v>2.3420000000000001</v>
      </c>
      <c r="I90" s="282"/>
      <c r="J90" s="293">
        <f t="shared" si="2"/>
        <v>1288.1000000000001</v>
      </c>
      <c r="K90" s="250"/>
      <c r="L90" s="250"/>
      <c r="M90" s="250"/>
      <c r="N90" s="250"/>
      <c r="O90" s="484"/>
      <c r="P90" s="250"/>
    </row>
    <row r="91" spans="2:16">
      <c r="B91" s="259">
        <f t="shared" si="3"/>
        <v>87</v>
      </c>
      <c r="C91" s="307" t="s">
        <v>900</v>
      </c>
      <c r="D91" s="307" t="s">
        <v>901</v>
      </c>
      <c r="E91" s="259" t="s">
        <v>741</v>
      </c>
      <c r="F91" s="259">
        <v>30</v>
      </c>
      <c r="G91" s="282">
        <v>213.24</v>
      </c>
      <c r="H91" s="282">
        <v>213.24</v>
      </c>
      <c r="I91" s="282"/>
      <c r="J91" s="293">
        <f t="shared" si="2"/>
        <v>6397.2000000000007</v>
      </c>
      <c r="K91" s="250"/>
      <c r="L91" s="250"/>
      <c r="M91" s="250"/>
      <c r="N91" s="250"/>
      <c r="O91" s="484"/>
      <c r="P91" s="250"/>
    </row>
    <row r="92" spans="2:16">
      <c r="B92" s="259">
        <f t="shared" si="3"/>
        <v>88</v>
      </c>
      <c r="C92" s="307" t="s">
        <v>900</v>
      </c>
      <c r="D92" s="307" t="s">
        <v>901</v>
      </c>
      <c r="E92" s="259" t="s">
        <v>741</v>
      </c>
      <c r="F92" s="259">
        <f>120*5</f>
        <v>600</v>
      </c>
      <c r="G92" s="282">
        <f>213.24/5</f>
        <v>42.648000000000003</v>
      </c>
      <c r="H92" s="282">
        <f>213.24/5</f>
        <v>42.648000000000003</v>
      </c>
      <c r="I92" s="282"/>
      <c r="J92" s="293">
        <f t="shared" si="2"/>
        <v>25588.800000000003</v>
      </c>
      <c r="K92" s="250"/>
      <c r="L92" s="250"/>
      <c r="M92" s="250"/>
      <c r="N92" s="250"/>
      <c r="O92" s="484"/>
      <c r="P92" s="250"/>
    </row>
    <row r="93" spans="2:16">
      <c r="B93" s="259">
        <f t="shared" si="3"/>
        <v>89</v>
      </c>
      <c r="C93" s="307" t="s">
        <v>902</v>
      </c>
      <c r="D93" s="307" t="s">
        <v>901</v>
      </c>
      <c r="E93" s="259" t="s">
        <v>741</v>
      </c>
      <c r="F93" s="259">
        <v>100</v>
      </c>
      <c r="G93" s="282">
        <v>119.3</v>
      </c>
      <c r="H93" s="282">
        <v>119.3</v>
      </c>
      <c r="I93" s="282"/>
      <c r="J93" s="293">
        <f t="shared" si="2"/>
        <v>11930</v>
      </c>
      <c r="K93" s="250"/>
      <c r="L93" s="250"/>
      <c r="M93" s="250"/>
      <c r="N93" s="250"/>
      <c r="O93" s="484"/>
      <c r="P93" s="250"/>
    </row>
    <row r="94" spans="2:16">
      <c r="B94" s="259">
        <f t="shared" si="3"/>
        <v>90</v>
      </c>
      <c r="C94" s="307" t="s">
        <v>903</v>
      </c>
      <c r="D94" s="307" t="s">
        <v>904</v>
      </c>
      <c r="E94" s="259" t="s">
        <v>741</v>
      </c>
      <c r="F94" s="259">
        <v>200</v>
      </c>
      <c r="G94" s="282">
        <v>188.32</v>
      </c>
      <c r="H94" s="282">
        <v>188.32</v>
      </c>
      <c r="I94" s="282"/>
      <c r="J94" s="293">
        <f t="shared" si="2"/>
        <v>37664</v>
      </c>
      <c r="K94" s="250"/>
      <c r="L94" s="250"/>
      <c r="M94" s="250"/>
      <c r="N94" s="250"/>
      <c r="O94" s="484"/>
      <c r="P94" s="250"/>
    </row>
    <row r="95" spans="2:16">
      <c r="B95" s="259">
        <f t="shared" si="3"/>
        <v>91</v>
      </c>
      <c r="C95" s="307" t="s">
        <v>905</v>
      </c>
      <c r="D95" s="307" t="s">
        <v>906</v>
      </c>
      <c r="E95" s="259" t="s">
        <v>741</v>
      </c>
      <c r="F95" s="259">
        <v>40</v>
      </c>
      <c r="G95" s="282">
        <v>1788.65</v>
      </c>
      <c r="H95" s="282">
        <v>1788.65</v>
      </c>
      <c r="I95" s="282"/>
      <c r="J95" s="293">
        <f t="shared" si="2"/>
        <v>71546</v>
      </c>
      <c r="K95" s="250"/>
      <c r="L95" s="250"/>
      <c r="M95" s="250"/>
      <c r="N95" s="250"/>
      <c r="O95" s="484"/>
      <c r="P95" s="250"/>
    </row>
    <row r="96" spans="2:16">
      <c r="B96" s="259">
        <f t="shared" si="3"/>
        <v>92</v>
      </c>
      <c r="C96" s="307" t="s">
        <v>907</v>
      </c>
      <c r="D96" s="307" t="s">
        <v>536</v>
      </c>
      <c r="E96" s="259" t="s">
        <v>360</v>
      </c>
      <c r="F96" s="259">
        <v>50</v>
      </c>
      <c r="G96" s="282">
        <v>75.06</v>
      </c>
      <c r="H96" s="282">
        <v>75.06</v>
      </c>
      <c r="I96" s="282"/>
      <c r="J96" s="293">
        <f t="shared" si="2"/>
        <v>3753</v>
      </c>
      <c r="K96" s="250"/>
      <c r="L96" s="250"/>
      <c r="M96" s="250"/>
      <c r="N96" s="250"/>
      <c r="O96" s="484"/>
      <c r="P96" s="250"/>
    </row>
    <row r="97" spans="2:16">
      <c r="B97" s="259">
        <f t="shared" si="3"/>
        <v>93</v>
      </c>
      <c r="C97" s="307" t="s">
        <v>908</v>
      </c>
      <c r="D97" s="307" t="s">
        <v>909</v>
      </c>
      <c r="E97" s="259" t="s">
        <v>741</v>
      </c>
      <c r="F97" s="259">
        <v>3</v>
      </c>
      <c r="G97" s="282">
        <v>70.62</v>
      </c>
      <c r="H97" s="282">
        <v>70.62</v>
      </c>
      <c r="I97" s="282"/>
      <c r="J97" s="293">
        <f t="shared" si="2"/>
        <v>211.86</v>
      </c>
      <c r="K97" s="250"/>
      <c r="L97" s="250"/>
      <c r="M97" s="250"/>
      <c r="N97" s="250"/>
      <c r="O97" s="484"/>
      <c r="P97" s="250"/>
    </row>
    <row r="98" spans="2:16">
      <c r="B98" s="259">
        <f t="shared" si="3"/>
        <v>94</v>
      </c>
      <c r="C98" s="307" t="s">
        <v>910</v>
      </c>
      <c r="D98" s="307" t="s">
        <v>911</v>
      </c>
      <c r="E98" s="259" t="s">
        <v>741</v>
      </c>
      <c r="F98" s="259">
        <v>20</v>
      </c>
      <c r="G98" s="282">
        <v>95.65</v>
      </c>
      <c r="H98" s="282">
        <v>95.65</v>
      </c>
      <c r="I98" s="282"/>
      <c r="J98" s="293">
        <f t="shared" si="2"/>
        <v>1913</v>
      </c>
      <c r="K98" s="250"/>
      <c r="L98" s="250"/>
      <c r="M98" s="250"/>
      <c r="N98" s="250"/>
      <c r="O98" s="484"/>
      <c r="P98" s="250"/>
    </row>
    <row r="99" spans="2:16">
      <c r="B99" s="259">
        <f t="shared" si="3"/>
        <v>95</v>
      </c>
      <c r="C99" s="307" t="s">
        <v>912</v>
      </c>
      <c r="D99" s="307" t="s">
        <v>913</v>
      </c>
      <c r="E99" s="259" t="s">
        <v>741</v>
      </c>
      <c r="F99" s="259">
        <f>20*5</f>
        <v>100</v>
      </c>
      <c r="G99" s="282">
        <f>191.85/5</f>
        <v>38.369999999999997</v>
      </c>
      <c r="H99" s="282">
        <f>191.85/5</f>
        <v>38.369999999999997</v>
      </c>
      <c r="I99" s="282"/>
      <c r="J99" s="293">
        <f t="shared" si="2"/>
        <v>3836.9999999999995</v>
      </c>
      <c r="K99" s="250"/>
      <c r="L99" s="250"/>
      <c r="M99" s="250"/>
      <c r="N99" s="250"/>
      <c r="O99" s="484"/>
      <c r="P99" s="250"/>
    </row>
    <row r="100" spans="2:16">
      <c r="B100" s="259">
        <f t="shared" si="3"/>
        <v>96</v>
      </c>
      <c r="C100" s="307" t="s">
        <v>914</v>
      </c>
      <c r="D100" s="307" t="s">
        <v>915</v>
      </c>
      <c r="E100" s="259" t="s">
        <v>741</v>
      </c>
      <c r="F100" s="259">
        <v>2</v>
      </c>
      <c r="G100" s="282">
        <v>16.18</v>
      </c>
      <c r="H100" s="282">
        <v>16.18</v>
      </c>
      <c r="I100" s="282"/>
      <c r="J100" s="293">
        <f t="shared" si="2"/>
        <v>32.36</v>
      </c>
      <c r="K100" s="250"/>
      <c r="L100" s="250"/>
      <c r="M100" s="250"/>
      <c r="N100" s="250"/>
      <c r="O100" s="484"/>
      <c r="P100" s="250"/>
    </row>
    <row r="101" spans="2:16">
      <c r="B101" s="259">
        <f t="shared" si="3"/>
        <v>97</v>
      </c>
      <c r="C101" s="307" t="s">
        <v>916</v>
      </c>
      <c r="D101" s="307" t="s">
        <v>917</v>
      </c>
      <c r="E101" s="259" t="s">
        <v>741</v>
      </c>
      <c r="F101" s="259">
        <v>10</v>
      </c>
      <c r="G101" s="282">
        <v>188.32</v>
      </c>
      <c r="H101" s="282">
        <v>188.32</v>
      </c>
      <c r="I101" s="282"/>
      <c r="J101" s="293">
        <f t="shared" si="2"/>
        <v>1883.1999999999998</v>
      </c>
      <c r="K101" s="250"/>
      <c r="L101" s="250"/>
      <c r="M101" s="250"/>
      <c r="N101" s="250"/>
      <c r="O101" s="484"/>
      <c r="P101" s="250"/>
    </row>
    <row r="102" spans="2:16">
      <c r="B102" s="259">
        <f t="shared" si="3"/>
        <v>98</v>
      </c>
      <c r="C102" s="307" t="s">
        <v>918</v>
      </c>
      <c r="D102" s="307" t="s">
        <v>917</v>
      </c>
      <c r="E102" s="259" t="s">
        <v>741</v>
      </c>
      <c r="F102" s="259">
        <v>8</v>
      </c>
      <c r="G102" s="282">
        <v>96.51</v>
      </c>
      <c r="H102" s="282">
        <v>96.51</v>
      </c>
      <c r="I102" s="282"/>
      <c r="J102" s="293">
        <f t="shared" si="2"/>
        <v>772.08</v>
      </c>
      <c r="K102" s="250"/>
      <c r="L102" s="250"/>
      <c r="M102" s="250"/>
      <c r="N102" s="250"/>
      <c r="O102" s="484"/>
      <c r="P102" s="250"/>
    </row>
    <row r="103" spans="2:16">
      <c r="B103" s="259">
        <f t="shared" si="3"/>
        <v>99</v>
      </c>
      <c r="C103" s="307" t="s">
        <v>919</v>
      </c>
      <c r="D103" s="307" t="s">
        <v>920</v>
      </c>
      <c r="E103" s="259" t="s">
        <v>741</v>
      </c>
      <c r="F103" s="259">
        <v>110</v>
      </c>
      <c r="G103" s="282">
        <v>55</v>
      </c>
      <c r="H103" s="282">
        <v>55</v>
      </c>
      <c r="I103" s="282"/>
      <c r="J103" s="293">
        <f t="shared" si="2"/>
        <v>6050</v>
      </c>
      <c r="K103" s="250"/>
      <c r="L103" s="250"/>
      <c r="M103" s="250"/>
      <c r="N103" s="250"/>
      <c r="O103" s="484"/>
      <c r="P103" s="250"/>
    </row>
    <row r="104" spans="2:16">
      <c r="B104" s="259">
        <f t="shared" si="3"/>
        <v>100</v>
      </c>
      <c r="C104" s="307" t="s">
        <v>921</v>
      </c>
      <c r="D104" s="307" t="s">
        <v>922</v>
      </c>
      <c r="E104" s="259" t="s">
        <v>360</v>
      </c>
      <c r="F104" s="259">
        <v>80</v>
      </c>
      <c r="G104" s="282">
        <v>77.84</v>
      </c>
      <c r="H104" s="282">
        <v>77.84</v>
      </c>
      <c r="I104" s="282"/>
      <c r="J104" s="293">
        <f t="shared" si="2"/>
        <v>6227.2000000000007</v>
      </c>
      <c r="K104" s="250"/>
      <c r="L104" s="250"/>
      <c r="M104" s="250"/>
      <c r="N104" s="250"/>
      <c r="O104" s="484"/>
      <c r="P104" s="250"/>
    </row>
    <row r="105" spans="2:16">
      <c r="B105" s="259">
        <f t="shared" si="3"/>
        <v>101</v>
      </c>
      <c r="C105" s="307" t="s">
        <v>923</v>
      </c>
      <c r="D105" s="307" t="s">
        <v>326</v>
      </c>
      <c r="E105" s="259" t="s">
        <v>741</v>
      </c>
      <c r="F105" s="259">
        <v>20</v>
      </c>
      <c r="G105" s="282">
        <v>297.77999999999997</v>
      </c>
      <c r="H105" s="282">
        <v>297.77999999999997</v>
      </c>
      <c r="I105" s="282"/>
      <c r="J105" s="293">
        <f t="shared" si="2"/>
        <v>5955.5999999999995</v>
      </c>
      <c r="K105" s="250"/>
      <c r="L105" s="250"/>
      <c r="M105" s="250"/>
      <c r="N105" s="250"/>
      <c r="O105" s="484"/>
      <c r="P105" s="250"/>
    </row>
    <row r="106" spans="2:16">
      <c r="B106" s="259">
        <f t="shared" si="3"/>
        <v>102</v>
      </c>
      <c r="C106" s="307" t="s">
        <v>924</v>
      </c>
      <c r="D106" s="307" t="s">
        <v>925</v>
      </c>
      <c r="E106" s="259" t="s">
        <v>741</v>
      </c>
      <c r="F106" s="259">
        <v>10</v>
      </c>
      <c r="G106" s="282">
        <v>205.98</v>
      </c>
      <c r="H106" s="282">
        <v>205.98</v>
      </c>
      <c r="I106" s="282"/>
      <c r="J106" s="293">
        <f t="shared" si="2"/>
        <v>2059.7999999999997</v>
      </c>
      <c r="K106" s="250"/>
      <c r="L106" s="250"/>
      <c r="M106" s="250"/>
      <c r="N106" s="250"/>
      <c r="O106" s="484"/>
      <c r="P106" s="250"/>
    </row>
    <row r="107" spans="2:16">
      <c r="B107" s="259">
        <f t="shared" si="3"/>
        <v>103</v>
      </c>
      <c r="C107" s="307" t="s">
        <v>926</v>
      </c>
      <c r="D107" s="307" t="s">
        <v>925</v>
      </c>
      <c r="E107" s="259" t="s">
        <v>741</v>
      </c>
      <c r="F107" s="259">
        <v>5</v>
      </c>
      <c r="G107" s="282">
        <v>180.08</v>
      </c>
      <c r="H107" s="282">
        <v>180.08</v>
      </c>
      <c r="I107" s="282"/>
      <c r="J107" s="293">
        <f t="shared" si="2"/>
        <v>900.40000000000009</v>
      </c>
      <c r="K107" s="250"/>
      <c r="L107" s="250"/>
      <c r="M107" s="250"/>
      <c r="N107" s="250"/>
      <c r="O107" s="484"/>
      <c r="P107" s="250"/>
    </row>
    <row r="108" spans="2:16">
      <c r="B108" s="259">
        <f t="shared" si="3"/>
        <v>104</v>
      </c>
      <c r="C108" s="307" t="s">
        <v>927</v>
      </c>
      <c r="D108" s="307" t="s">
        <v>928</v>
      </c>
      <c r="E108" s="259" t="s">
        <v>741</v>
      </c>
      <c r="F108" s="259">
        <v>4</v>
      </c>
      <c r="G108" s="282">
        <v>706.2</v>
      </c>
      <c r="H108" s="282">
        <v>706.2</v>
      </c>
      <c r="I108" s="282"/>
      <c r="J108" s="293">
        <f t="shared" si="2"/>
        <v>2824.8</v>
      </c>
      <c r="K108" s="250"/>
      <c r="L108" s="250"/>
      <c r="M108" s="250"/>
      <c r="N108" s="250"/>
      <c r="O108" s="484"/>
      <c r="P108" s="250"/>
    </row>
    <row r="109" spans="2:16">
      <c r="B109" s="259">
        <f t="shared" si="3"/>
        <v>105</v>
      </c>
      <c r="C109" s="307" t="s">
        <v>929</v>
      </c>
      <c r="D109" s="307" t="s">
        <v>930</v>
      </c>
      <c r="E109" s="259" t="s">
        <v>741</v>
      </c>
      <c r="F109" s="259">
        <v>35</v>
      </c>
      <c r="G109" s="282">
        <v>65.91</v>
      </c>
      <c r="H109" s="282">
        <v>65.91</v>
      </c>
      <c r="I109" s="282"/>
      <c r="J109" s="293">
        <f t="shared" si="2"/>
        <v>2306.85</v>
      </c>
      <c r="K109" s="250"/>
      <c r="L109" s="250"/>
      <c r="M109" s="250"/>
      <c r="N109" s="250"/>
      <c r="O109" s="484"/>
      <c r="P109" s="250"/>
    </row>
    <row r="110" spans="2:16">
      <c r="B110" s="259">
        <f t="shared" si="3"/>
        <v>106</v>
      </c>
      <c r="C110" s="307" t="s">
        <v>931</v>
      </c>
      <c r="D110" s="307" t="s">
        <v>880</v>
      </c>
      <c r="E110" s="259" t="s">
        <v>741</v>
      </c>
      <c r="F110" s="259">
        <v>20</v>
      </c>
      <c r="G110" s="282">
        <v>107.9</v>
      </c>
      <c r="H110" s="282">
        <v>107.9</v>
      </c>
      <c r="I110" s="282"/>
      <c r="J110" s="293">
        <f t="shared" si="2"/>
        <v>2158</v>
      </c>
      <c r="K110" s="250"/>
      <c r="L110" s="250"/>
      <c r="M110" s="250"/>
      <c r="N110" s="250"/>
      <c r="O110" s="484"/>
      <c r="P110" s="250"/>
    </row>
    <row r="111" spans="2:16">
      <c r="B111" s="259">
        <f t="shared" si="3"/>
        <v>107</v>
      </c>
      <c r="C111" s="307" t="s">
        <v>932</v>
      </c>
      <c r="D111" s="307" t="s">
        <v>933</v>
      </c>
      <c r="E111" s="259" t="s">
        <v>741</v>
      </c>
      <c r="F111" s="259">
        <v>51</v>
      </c>
      <c r="G111" s="282">
        <v>38.5</v>
      </c>
      <c r="H111" s="282">
        <v>38.5</v>
      </c>
      <c r="I111" s="282"/>
      <c r="J111" s="293">
        <f t="shared" si="2"/>
        <v>1963.5</v>
      </c>
      <c r="K111" s="250"/>
      <c r="L111" s="250"/>
      <c r="M111" s="250"/>
      <c r="N111" s="250"/>
      <c r="O111" s="484"/>
      <c r="P111" s="250"/>
    </row>
    <row r="112" spans="2:16">
      <c r="B112" s="259">
        <f t="shared" si="3"/>
        <v>108</v>
      </c>
      <c r="C112" s="307" t="s">
        <v>934</v>
      </c>
      <c r="D112" s="307" t="s">
        <v>935</v>
      </c>
      <c r="E112" s="259" t="s">
        <v>741</v>
      </c>
      <c r="F112" s="259">
        <v>8</v>
      </c>
      <c r="G112" s="282">
        <v>94.16</v>
      </c>
      <c r="H112" s="282">
        <v>94.16</v>
      </c>
      <c r="I112" s="282"/>
      <c r="J112" s="293">
        <f t="shared" si="2"/>
        <v>753.28</v>
      </c>
      <c r="K112" s="250"/>
      <c r="L112" s="250"/>
      <c r="M112" s="250"/>
      <c r="N112" s="250"/>
      <c r="O112" s="484"/>
      <c r="P112" s="250"/>
    </row>
    <row r="113" spans="2:16">
      <c r="B113" s="259">
        <f t="shared" si="3"/>
        <v>109</v>
      </c>
      <c r="C113" s="307" t="s">
        <v>936</v>
      </c>
      <c r="D113" s="307" t="s">
        <v>937</v>
      </c>
      <c r="E113" s="259" t="s">
        <v>360</v>
      </c>
      <c r="F113" s="259">
        <v>1</v>
      </c>
      <c r="G113" s="282">
        <v>391</v>
      </c>
      <c r="H113" s="282">
        <v>391</v>
      </c>
      <c r="I113" s="282"/>
      <c r="J113" s="293">
        <f t="shared" si="2"/>
        <v>391</v>
      </c>
      <c r="K113" s="250"/>
      <c r="L113" s="250"/>
      <c r="M113" s="250"/>
      <c r="N113" s="250"/>
      <c r="O113" s="484"/>
      <c r="P113" s="250"/>
    </row>
    <row r="114" spans="2:16">
      <c r="B114" s="259">
        <f t="shared" si="3"/>
        <v>110</v>
      </c>
      <c r="C114" s="307" t="s">
        <v>938</v>
      </c>
      <c r="D114" s="307" t="s">
        <v>939</v>
      </c>
      <c r="E114" s="259" t="s">
        <v>741</v>
      </c>
      <c r="F114" s="259">
        <v>310</v>
      </c>
      <c r="G114" s="282">
        <v>43.2</v>
      </c>
      <c r="H114" s="282">
        <v>43.2</v>
      </c>
      <c r="I114" s="282"/>
      <c r="J114" s="293">
        <f t="shared" si="2"/>
        <v>13392</v>
      </c>
      <c r="K114" s="250"/>
      <c r="L114" s="250"/>
      <c r="M114" s="250"/>
      <c r="N114" s="250"/>
      <c r="O114" s="484"/>
      <c r="P114" s="250"/>
    </row>
    <row r="115" spans="2:16">
      <c r="B115" s="259">
        <f t="shared" si="3"/>
        <v>111</v>
      </c>
      <c r="C115" s="307" t="s">
        <v>940</v>
      </c>
      <c r="D115" s="307" t="s">
        <v>939</v>
      </c>
      <c r="E115" s="259" t="s">
        <v>741</v>
      </c>
      <c r="F115" s="259">
        <v>310</v>
      </c>
      <c r="G115" s="282">
        <v>34.020000000000003</v>
      </c>
      <c r="H115" s="282">
        <v>34.020000000000003</v>
      </c>
      <c r="I115" s="282"/>
      <c r="J115" s="293">
        <f t="shared" si="2"/>
        <v>10546.2</v>
      </c>
      <c r="K115" s="176"/>
      <c r="L115" s="250"/>
      <c r="M115" s="176"/>
      <c r="N115" s="176"/>
      <c r="O115" s="493"/>
      <c r="P115" s="176"/>
    </row>
    <row r="116" spans="2:16">
      <c r="B116" s="280"/>
      <c r="C116" s="307"/>
      <c r="D116" s="284"/>
      <c r="E116" s="280"/>
      <c r="F116" s="280"/>
      <c r="G116" s="282"/>
      <c r="H116" s="282"/>
      <c r="I116" s="282"/>
      <c r="J116" s="293">
        <f>SUM(J5:J115)</f>
        <v>903194.34999999986</v>
      </c>
      <c r="K116" s="176"/>
      <c r="L116" s="250"/>
      <c r="M116" s="176"/>
      <c r="N116" s="176"/>
      <c r="O116" s="493"/>
      <c r="P116" s="176"/>
    </row>
    <row r="117" spans="2:16">
      <c r="B117" s="495"/>
      <c r="C117" s="496"/>
      <c r="D117" s="497"/>
      <c r="E117" s="498"/>
      <c r="F117" s="499"/>
      <c r="G117" s="500"/>
      <c r="H117" s="501"/>
      <c r="I117" s="501"/>
      <c r="J117" s="502"/>
      <c r="K117" s="176"/>
      <c r="L117" s="250"/>
      <c r="M117" s="176"/>
      <c r="N117" s="176"/>
      <c r="O117" s="493"/>
      <c r="P117" s="176"/>
    </row>
    <row r="118" spans="2:16" ht="19.5">
      <c r="B118" s="495"/>
      <c r="C118" s="496" t="s">
        <v>1342</v>
      </c>
      <c r="D118" s="497"/>
      <c r="E118" s="498" t="s">
        <v>535</v>
      </c>
      <c r="F118" s="499"/>
      <c r="G118" s="500"/>
      <c r="H118" s="501"/>
      <c r="I118" s="501"/>
      <c r="J118" s="502"/>
      <c r="K118" s="503"/>
      <c r="L118" s="504"/>
      <c r="M118" s="503"/>
      <c r="N118" s="503"/>
      <c r="O118" s="505"/>
      <c r="P118" s="503"/>
    </row>
    <row r="119" spans="2:16" ht="19.5">
      <c r="B119" s="495"/>
      <c r="C119" s="496"/>
      <c r="D119" s="497"/>
      <c r="E119" s="498"/>
      <c r="F119" s="499"/>
      <c r="G119" s="500"/>
      <c r="H119" s="501"/>
      <c r="I119" s="501"/>
      <c r="J119" s="502"/>
      <c r="K119" s="503"/>
      <c r="L119" s="504"/>
      <c r="M119" s="503"/>
      <c r="N119" s="503"/>
      <c r="O119" s="505"/>
      <c r="P119" s="503"/>
    </row>
    <row r="120" spans="2:16">
      <c r="B120" s="480"/>
      <c r="C120" s="485" t="s">
        <v>583</v>
      </c>
      <c r="D120" s="486" t="s">
        <v>941</v>
      </c>
      <c r="E120" s="480"/>
      <c r="F120" s="480"/>
      <c r="G120" s="480"/>
      <c r="H120" s="480"/>
      <c r="I120" s="480"/>
      <c r="J120" s="483"/>
      <c r="K120" s="250"/>
      <c r="L120" s="250"/>
      <c r="M120" s="250"/>
      <c r="N120" s="250"/>
      <c r="O120" s="484"/>
      <c r="P120" s="250"/>
    </row>
    <row r="121" spans="2:16" ht="19.5">
      <c r="B121" s="495"/>
      <c r="C121" s="496"/>
      <c r="D121" s="497"/>
      <c r="E121" s="498"/>
      <c r="F121" s="499"/>
      <c r="G121" s="500"/>
      <c r="H121" s="501"/>
      <c r="I121" s="501"/>
      <c r="J121" s="502"/>
      <c r="K121" s="503"/>
      <c r="L121" s="504"/>
      <c r="M121" s="503"/>
      <c r="N121" s="503"/>
      <c r="O121" s="505"/>
      <c r="P121" s="503"/>
    </row>
    <row r="122" spans="2:16" ht="19.5">
      <c r="B122" s="506" t="s">
        <v>736</v>
      </c>
      <c r="C122" s="507" t="s">
        <v>942</v>
      </c>
      <c r="D122" s="508" t="s">
        <v>943</v>
      </c>
      <c r="E122" s="478" t="s">
        <v>944</v>
      </c>
      <c r="F122" s="478" t="s">
        <v>1962</v>
      </c>
      <c r="G122" s="281"/>
      <c r="H122" s="490" t="s">
        <v>122</v>
      </c>
      <c r="I122" s="282"/>
      <c r="J122" s="293" t="s">
        <v>1888</v>
      </c>
      <c r="K122" s="503"/>
      <c r="L122" s="504"/>
      <c r="M122" s="503"/>
      <c r="N122" s="503"/>
      <c r="O122" s="505"/>
      <c r="P122" s="503"/>
    </row>
    <row r="123" spans="2:16" ht="19.5">
      <c r="B123" s="478">
        <v>1</v>
      </c>
      <c r="C123" s="509" t="s">
        <v>945</v>
      </c>
      <c r="D123" s="510" t="s">
        <v>946</v>
      </c>
      <c r="E123" s="478" t="s">
        <v>360</v>
      </c>
      <c r="F123" s="478">
        <v>50</v>
      </c>
      <c r="G123" s="281"/>
      <c r="H123" s="282">
        <v>167</v>
      </c>
      <c r="I123" s="282"/>
      <c r="J123" s="293">
        <f>F123*H123</f>
        <v>8350</v>
      </c>
      <c r="K123" s="503"/>
      <c r="L123" s="504"/>
      <c r="M123" s="503"/>
      <c r="N123" s="503"/>
      <c r="O123" s="505"/>
      <c r="P123" s="503"/>
    </row>
    <row r="124" spans="2:16" ht="19.5">
      <c r="B124" s="478">
        <v>2</v>
      </c>
      <c r="C124" s="509" t="s">
        <v>947</v>
      </c>
      <c r="D124" s="510" t="s">
        <v>948</v>
      </c>
      <c r="E124" s="478" t="s">
        <v>360</v>
      </c>
      <c r="F124" s="478">
        <v>100</v>
      </c>
      <c r="G124" s="281"/>
      <c r="H124" s="282">
        <v>292</v>
      </c>
      <c r="I124" s="282"/>
      <c r="J124" s="293">
        <f t="shared" ref="J124:J132" si="4">F124*H124</f>
        <v>29200</v>
      </c>
      <c r="K124" s="503"/>
      <c r="L124" s="504"/>
      <c r="M124" s="503"/>
      <c r="N124" s="503"/>
      <c r="O124" s="505"/>
      <c r="P124" s="503"/>
    </row>
    <row r="125" spans="2:16" ht="19.5">
      <c r="B125" s="478">
        <v>3</v>
      </c>
      <c r="C125" s="509" t="s">
        <v>949</v>
      </c>
      <c r="D125" s="510" t="s">
        <v>950</v>
      </c>
      <c r="E125" s="478" t="s">
        <v>360</v>
      </c>
      <c r="F125" s="478">
        <v>1050</v>
      </c>
      <c r="G125" s="281"/>
      <c r="H125" s="282">
        <v>78</v>
      </c>
      <c r="I125" s="282"/>
      <c r="J125" s="293">
        <f t="shared" si="4"/>
        <v>81900</v>
      </c>
      <c r="K125" s="503"/>
      <c r="L125" s="504"/>
      <c r="M125" s="503"/>
      <c r="N125" s="503"/>
      <c r="O125" s="505"/>
      <c r="P125" s="503"/>
    </row>
    <row r="126" spans="2:16" ht="19.5">
      <c r="B126" s="478">
        <v>4</v>
      </c>
      <c r="C126" s="509" t="s">
        <v>951</v>
      </c>
      <c r="D126" s="510" t="s">
        <v>952</v>
      </c>
      <c r="E126" s="478" t="s">
        <v>360</v>
      </c>
      <c r="F126" s="478">
        <v>1000</v>
      </c>
      <c r="G126" s="281"/>
      <c r="H126" s="282">
        <v>67.2</v>
      </c>
      <c r="I126" s="282"/>
      <c r="J126" s="293">
        <f t="shared" si="4"/>
        <v>67200</v>
      </c>
      <c r="K126" s="503"/>
      <c r="L126" s="504"/>
      <c r="M126" s="503"/>
      <c r="N126" s="503"/>
      <c r="O126" s="505"/>
      <c r="P126" s="503"/>
    </row>
    <row r="127" spans="2:16" ht="19.5">
      <c r="B127" s="478">
        <v>5</v>
      </c>
      <c r="C127" s="509" t="s">
        <v>953</v>
      </c>
      <c r="D127" s="510" t="s">
        <v>954</v>
      </c>
      <c r="E127" s="478" t="s">
        <v>360</v>
      </c>
      <c r="F127" s="478">
        <v>150</v>
      </c>
      <c r="G127" s="281"/>
      <c r="H127" s="282">
        <v>104.4</v>
      </c>
      <c r="I127" s="282"/>
      <c r="J127" s="293">
        <f t="shared" si="4"/>
        <v>15660</v>
      </c>
      <c r="K127" s="503"/>
      <c r="L127" s="504"/>
      <c r="M127" s="503"/>
      <c r="N127" s="503"/>
      <c r="O127" s="505"/>
      <c r="P127" s="503"/>
    </row>
    <row r="128" spans="2:16" ht="19.5">
      <c r="B128" s="478">
        <v>6</v>
      </c>
      <c r="C128" s="509" t="s">
        <v>955</v>
      </c>
      <c r="D128" s="510" t="s">
        <v>956</v>
      </c>
      <c r="E128" s="478" t="s">
        <v>360</v>
      </c>
      <c r="F128" s="478">
        <v>3300</v>
      </c>
      <c r="G128" s="281"/>
      <c r="H128" s="282">
        <v>23.2</v>
      </c>
      <c r="I128" s="282"/>
      <c r="J128" s="293">
        <f t="shared" si="4"/>
        <v>76560</v>
      </c>
      <c r="K128" s="503"/>
      <c r="L128" s="504"/>
      <c r="M128" s="503"/>
      <c r="N128" s="503"/>
      <c r="O128" s="505"/>
      <c r="P128" s="503"/>
    </row>
    <row r="129" spans="2:17" ht="19.5">
      <c r="B129" s="478">
        <v>7</v>
      </c>
      <c r="C129" s="509" t="s">
        <v>957</v>
      </c>
      <c r="D129" s="510" t="s">
        <v>958</v>
      </c>
      <c r="E129" s="478" t="s">
        <v>360</v>
      </c>
      <c r="F129" s="478">
        <v>100</v>
      </c>
      <c r="G129" s="281"/>
      <c r="H129" s="282">
        <v>31.03</v>
      </c>
      <c r="I129" s="282"/>
      <c r="J129" s="293">
        <f t="shared" si="4"/>
        <v>3103</v>
      </c>
      <c r="K129" s="503"/>
      <c r="L129" s="504"/>
      <c r="M129" s="503"/>
      <c r="N129" s="503"/>
      <c r="O129" s="505"/>
      <c r="P129" s="503"/>
    </row>
    <row r="130" spans="2:17" ht="19.5">
      <c r="B130" s="478">
        <v>8</v>
      </c>
      <c r="C130" s="509" t="s">
        <v>959</v>
      </c>
      <c r="D130" s="510" t="s">
        <v>954</v>
      </c>
      <c r="E130" s="478" t="s">
        <v>360</v>
      </c>
      <c r="F130" s="478">
        <v>300</v>
      </c>
      <c r="G130" s="281"/>
      <c r="H130" s="282">
        <v>13.09</v>
      </c>
      <c r="I130" s="282"/>
      <c r="J130" s="293">
        <f t="shared" si="4"/>
        <v>3927</v>
      </c>
      <c r="K130" s="503"/>
      <c r="L130" s="504"/>
      <c r="M130" s="503"/>
      <c r="N130" s="503"/>
      <c r="O130" s="505"/>
      <c r="P130" s="503"/>
    </row>
    <row r="131" spans="2:17" ht="19.5">
      <c r="B131" s="478">
        <v>9</v>
      </c>
      <c r="C131" s="509" t="s">
        <v>960</v>
      </c>
      <c r="D131" s="510" t="s">
        <v>954</v>
      </c>
      <c r="E131" s="478" t="s">
        <v>360</v>
      </c>
      <c r="F131" s="478">
        <v>200</v>
      </c>
      <c r="G131" s="281"/>
      <c r="H131" s="282">
        <v>58.85</v>
      </c>
      <c r="I131" s="282"/>
      <c r="J131" s="293">
        <f t="shared" si="4"/>
        <v>11770</v>
      </c>
      <c r="K131" s="503"/>
      <c r="L131" s="504"/>
      <c r="M131" s="503"/>
      <c r="N131" s="503"/>
      <c r="O131" s="505"/>
      <c r="P131" s="503"/>
    </row>
    <row r="132" spans="2:17" ht="19.5">
      <c r="B132" s="478">
        <v>10</v>
      </c>
      <c r="C132" s="509" t="s">
        <v>961</v>
      </c>
      <c r="D132" s="510" t="s">
        <v>962</v>
      </c>
      <c r="E132" s="478" t="s">
        <v>741</v>
      </c>
      <c r="F132" s="478">
        <v>30</v>
      </c>
      <c r="G132" s="281"/>
      <c r="H132" s="282">
        <v>77.3</v>
      </c>
      <c r="I132" s="282"/>
      <c r="J132" s="293">
        <f t="shared" si="4"/>
        <v>2319</v>
      </c>
      <c r="K132" s="503"/>
      <c r="L132" s="504"/>
      <c r="M132" s="503"/>
      <c r="N132" s="503"/>
      <c r="O132" s="505"/>
      <c r="P132" s="503"/>
    </row>
    <row r="133" spans="2:17" ht="19.5">
      <c r="B133" s="280"/>
      <c r="C133" s="511"/>
      <c r="D133" s="512"/>
      <c r="E133" s="681"/>
      <c r="F133" s="513"/>
      <c r="G133" s="281"/>
      <c r="H133" s="282"/>
      <c r="I133" s="282"/>
      <c r="J133" s="293">
        <f>SUM(J123:J132)</f>
        <v>299989</v>
      </c>
      <c r="K133" s="503"/>
      <c r="L133" s="504"/>
      <c r="M133" s="503"/>
      <c r="N133" s="503"/>
      <c r="O133" s="505"/>
      <c r="P133" s="503"/>
    </row>
    <row r="134" spans="2:17" ht="19.5">
      <c r="B134" s="495"/>
      <c r="C134" s="496"/>
      <c r="D134" s="497"/>
      <c r="E134" s="498"/>
      <c r="F134" s="499"/>
      <c r="G134" s="500"/>
      <c r="H134" s="501"/>
      <c r="I134" s="501"/>
      <c r="J134" s="502"/>
      <c r="K134" s="503"/>
      <c r="L134" s="504"/>
      <c r="M134" s="503"/>
      <c r="N134" s="503"/>
      <c r="O134" s="505"/>
      <c r="P134" s="503"/>
    </row>
    <row r="135" spans="2:17" ht="19.5">
      <c r="B135" s="495"/>
      <c r="C135" s="496" t="s">
        <v>1342</v>
      </c>
      <c r="D135" s="497"/>
      <c r="E135" s="498" t="s">
        <v>535</v>
      </c>
      <c r="F135" s="499"/>
      <c r="G135" s="500"/>
      <c r="H135" s="501"/>
      <c r="I135" s="501"/>
      <c r="J135" s="502"/>
      <c r="K135" s="503"/>
      <c r="L135" s="504"/>
      <c r="M135" s="503"/>
      <c r="N135" s="503"/>
      <c r="O135" s="505"/>
      <c r="P135" s="503"/>
    </row>
    <row r="136" spans="2:17">
      <c r="B136" s="495"/>
      <c r="C136" s="496"/>
      <c r="D136" s="497"/>
      <c r="E136" s="498"/>
      <c r="F136" s="499"/>
      <c r="G136" s="500"/>
      <c r="H136" s="501"/>
      <c r="I136" s="501"/>
      <c r="J136" s="502"/>
      <c r="K136" s="176"/>
      <c r="L136" s="250"/>
      <c r="M136" s="176"/>
      <c r="N136" s="176"/>
      <c r="O136" s="493"/>
      <c r="P136" s="176"/>
    </row>
    <row r="137" spans="2:17">
      <c r="B137" s="495"/>
      <c r="C137" s="485" t="s">
        <v>583</v>
      </c>
      <c r="D137" s="486" t="s">
        <v>963</v>
      </c>
      <c r="E137" s="498"/>
      <c r="F137" s="499"/>
      <c r="G137" s="500"/>
      <c r="H137" s="501"/>
      <c r="I137" s="501"/>
      <c r="J137" s="502"/>
      <c r="K137" s="176"/>
      <c r="L137" s="250"/>
      <c r="M137" s="176"/>
      <c r="N137" s="176"/>
      <c r="O137" s="493"/>
      <c r="P137" s="176"/>
    </row>
    <row r="138" spans="2:17">
      <c r="B138" s="480"/>
      <c r="C138" s="481"/>
      <c r="D138" s="482"/>
      <c r="E138" s="480"/>
      <c r="F138" s="480"/>
      <c r="G138" s="480"/>
      <c r="H138" s="480"/>
      <c r="I138" s="480"/>
      <c r="J138" s="483"/>
      <c r="K138" s="250"/>
      <c r="L138" s="250"/>
      <c r="M138" s="250"/>
      <c r="N138" s="250"/>
      <c r="O138" s="484"/>
      <c r="P138" s="250"/>
    </row>
    <row r="139" spans="2:17" s="301" customFormat="1" ht="31.5">
      <c r="B139" s="513" t="s">
        <v>1884</v>
      </c>
      <c r="C139" s="116" t="s">
        <v>1961</v>
      </c>
      <c r="D139" s="514"/>
      <c r="E139" s="680" t="s">
        <v>1887</v>
      </c>
      <c r="F139" s="490" t="s">
        <v>1962</v>
      </c>
      <c r="G139" s="490"/>
      <c r="H139" s="490" t="s">
        <v>122</v>
      </c>
      <c r="I139" s="491"/>
      <c r="J139" s="492" t="s">
        <v>584</v>
      </c>
      <c r="K139" s="515"/>
      <c r="L139" s="515"/>
      <c r="M139" s="515"/>
      <c r="N139" s="515"/>
      <c r="O139" s="516"/>
      <c r="P139" s="515"/>
      <c r="Q139" s="670"/>
    </row>
    <row r="140" spans="2:17" s="301" customFormat="1">
      <c r="B140" s="280">
        <v>1</v>
      </c>
      <c r="C140" s="517" t="s">
        <v>1966</v>
      </c>
      <c r="D140" s="307" t="s">
        <v>1967</v>
      </c>
      <c r="E140" s="280" t="s">
        <v>1968</v>
      </c>
      <c r="F140" s="280">
        <v>1050</v>
      </c>
      <c r="G140" s="282">
        <v>95</v>
      </c>
      <c r="H140" s="282">
        <v>71</v>
      </c>
      <c r="I140" s="280"/>
      <c r="J140" s="293">
        <f t="shared" ref="J140:J181" si="5">H140*F140</f>
        <v>74550</v>
      </c>
      <c r="K140" s="250"/>
      <c r="L140" s="250"/>
      <c r="M140" s="250"/>
      <c r="N140" s="250"/>
      <c r="O140" s="484"/>
      <c r="P140" s="250"/>
      <c r="Q140" s="670"/>
    </row>
    <row r="141" spans="2:17" s="341" customFormat="1" ht="19.5">
      <c r="B141" s="280">
        <v>2</v>
      </c>
      <c r="C141" s="517" t="s">
        <v>1969</v>
      </c>
      <c r="D141" s="307" t="s">
        <v>1970</v>
      </c>
      <c r="E141" s="280" t="s">
        <v>1968</v>
      </c>
      <c r="F141" s="280">
        <v>1500</v>
      </c>
      <c r="G141" s="282">
        <v>20</v>
      </c>
      <c r="H141" s="282">
        <v>20</v>
      </c>
      <c r="I141" s="280"/>
      <c r="J141" s="293">
        <f t="shared" si="5"/>
        <v>30000</v>
      </c>
      <c r="K141" s="250"/>
      <c r="L141" s="250"/>
      <c r="M141" s="250"/>
      <c r="N141" s="250"/>
      <c r="O141" s="484"/>
      <c r="P141" s="250"/>
      <c r="Q141" s="670"/>
    </row>
    <row r="142" spans="2:17" s="301" customFormat="1" ht="31.5">
      <c r="B142" s="280">
        <v>3</v>
      </c>
      <c r="C142" s="517" t="s">
        <v>1969</v>
      </c>
      <c r="D142" s="307" t="s">
        <v>1971</v>
      </c>
      <c r="E142" s="280" t="s">
        <v>1968</v>
      </c>
      <c r="F142" s="280">
        <v>7350</v>
      </c>
      <c r="G142" s="282">
        <v>16</v>
      </c>
      <c r="H142" s="282">
        <v>15</v>
      </c>
      <c r="I142" s="280"/>
      <c r="J142" s="293">
        <f t="shared" si="5"/>
        <v>110250</v>
      </c>
      <c r="K142" s="250"/>
      <c r="L142" s="250"/>
      <c r="M142" s="250"/>
      <c r="N142" s="250"/>
      <c r="O142" s="484"/>
      <c r="P142" s="250"/>
      <c r="Q142" s="670"/>
    </row>
    <row r="143" spans="2:17" s="301" customFormat="1" ht="31.5">
      <c r="B143" s="280">
        <v>4</v>
      </c>
      <c r="C143" s="517" t="s">
        <v>1969</v>
      </c>
      <c r="D143" s="307" t="s">
        <v>1972</v>
      </c>
      <c r="E143" s="280" t="s">
        <v>1968</v>
      </c>
      <c r="F143" s="280">
        <v>4350</v>
      </c>
      <c r="G143" s="282">
        <v>15</v>
      </c>
      <c r="H143" s="282">
        <v>14</v>
      </c>
      <c r="I143" s="280"/>
      <c r="J143" s="293">
        <f t="shared" si="5"/>
        <v>60900</v>
      </c>
      <c r="K143" s="250"/>
      <c r="L143" s="250"/>
      <c r="M143" s="250"/>
      <c r="N143" s="250"/>
      <c r="O143" s="484"/>
      <c r="P143" s="250"/>
      <c r="Q143" s="670"/>
    </row>
    <row r="144" spans="2:17" s="301" customFormat="1">
      <c r="B144" s="280">
        <v>5</v>
      </c>
      <c r="C144" s="517" t="s">
        <v>1969</v>
      </c>
      <c r="D144" s="307" t="s">
        <v>1973</v>
      </c>
      <c r="E144" s="280" t="s">
        <v>1974</v>
      </c>
      <c r="F144" s="280">
        <v>100</v>
      </c>
      <c r="G144" s="282">
        <v>20</v>
      </c>
      <c r="H144" s="282">
        <v>20</v>
      </c>
      <c r="I144" s="280"/>
      <c r="J144" s="293">
        <f t="shared" si="5"/>
        <v>2000</v>
      </c>
      <c r="K144" s="250"/>
      <c r="L144" s="250"/>
      <c r="M144" s="250"/>
      <c r="N144" s="250"/>
      <c r="O144" s="484"/>
      <c r="P144" s="250"/>
      <c r="Q144" s="670"/>
    </row>
    <row r="145" spans="2:19">
      <c r="B145" s="280">
        <v>6</v>
      </c>
      <c r="C145" s="517" t="s">
        <v>310</v>
      </c>
      <c r="D145" s="307" t="s">
        <v>311</v>
      </c>
      <c r="E145" s="280" t="s">
        <v>1968</v>
      </c>
      <c r="F145" s="280">
        <v>650</v>
      </c>
      <c r="G145" s="282">
        <v>100</v>
      </c>
      <c r="H145" s="282">
        <v>123.05</v>
      </c>
      <c r="I145" s="280"/>
      <c r="J145" s="293">
        <f t="shared" si="5"/>
        <v>79982.5</v>
      </c>
      <c r="K145" s="250"/>
      <c r="L145" s="250"/>
      <c r="M145" s="250"/>
      <c r="N145" s="250"/>
      <c r="O145" s="484"/>
      <c r="P145" s="250"/>
    </row>
    <row r="146" spans="2:19" s="300" customFormat="1">
      <c r="B146" s="280">
        <v>7</v>
      </c>
      <c r="C146" s="517" t="s">
        <v>312</v>
      </c>
      <c r="D146" s="307" t="s">
        <v>313</v>
      </c>
      <c r="E146" s="280" t="s">
        <v>1968</v>
      </c>
      <c r="F146" s="280">
        <v>110</v>
      </c>
      <c r="G146" s="282">
        <v>69</v>
      </c>
      <c r="H146" s="282">
        <f>G146*1.07</f>
        <v>73.83</v>
      </c>
      <c r="I146" s="280"/>
      <c r="J146" s="293">
        <f t="shared" si="5"/>
        <v>8121.3</v>
      </c>
      <c r="K146" s="250"/>
      <c r="L146" s="250"/>
      <c r="M146" s="250"/>
      <c r="N146" s="250"/>
      <c r="O146" s="484"/>
      <c r="P146" s="250"/>
      <c r="S146" s="670"/>
    </row>
    <row r="147" spans="2:19">
      <c r="B147" s="280">
        <v>8</v>
      </c>
      <c r="C147" s="517" t="s">
        <v>314</v>
      </c>
      <c r="D147" s="307" t="s">
        <v>315</v>
      </c>
      <c r="E147" s="280" t="s">
        <v>1968</v>
      </c>
      <c r="F147" s="280">
        <v>500</v>
      </c>
      <c r="G147" s="282">
        <v>100</v>
      </c>
      <c r="H147" s="282">
        <v>85.6</v>
      </c>
      <c r="I147" s="280"/>
      <c r="J147" s="293">
        <f t="shared" si="5"/>
        <v>42800</v>
      </c>
      <c r="K147" s="250"/>
      <c r="L147" s="250"/>
      <c r="M147" s="250"/>
      <c r="N147" s="250"/>
      <c r="O147" s="484"/>
      <c r="P147" s="250"/>
    </row>
    <row r="148" spans="2:19">
      <c r="B148" s="280">
        <v>9</v>
      </c>
      <c r="C148" s="517" t="s">
        <v>536</v>
      </c>
      <c r="D148" s="307" t="s">
        <v>316</v>
      </c>
      <c r="E148" s="280" t="s">
        <v>1968</v>
      </c>
      <c r="F148" s="280">
        <v>50</v>
      </c>
      <c r="G148" s="282">
        <v>69</v>
      </c>
      <c r="H148" s="282">
        <f>G148*1.07</f>
        <v>73.83</v>
      </c>
      <c r="I148" s="280"/>
      <c r="J148" s="293">
        <f t="shared" si="5"/>
        <v>3691.5</v>
      </c>
      <c r="K148" s="250"/>
      <c r="L148" s="250"/>
      <c r="M148" s="250"/>
      <c r="N148" s="250"/>
      <c r="O148" s="484"/>
      <c r="P148" s="250"/>
    </row>
    <row r="149" spans="2:19" ht="31.5">
      <c r="B149" s="280">
        <v>10</v>
      </c>
      <c r="C149" s="517" t="s">
        <v>310</v>
      </c>
      <c r="D149" s="307" t="s">
        <v>317</v>
      </c>
      <c r="E149" s="280" t="s">
        <v>1968</v>
      </c>
      <c r="F149" s="280">
        <v>999</v>
      </c>
      <c r="G149" s="282">
        <v>72</v>
      </c>
      <c r="H149" s="282">
        <f>G149*1.07</f>
        <v>77.040000000000006</v>
      </c>
      <c r="I149" s="280"/>
      <c r="J149" s="293">
        <f t="shared" si="5"/>
        <v>76962.960000000006</v>
      </c>
      <c r="K149" s="250"/>
      <c r="L149" s="250"/>
      <c r="M149" s="250"/>
      <c r="N149" s="250"/>
      <c r="O149" s="484"/>
      <c r="P149" s="250"/>
    </row>
    <row r="150" spans="2:19">
      <c r="B150" s="280">
        <v>11</v>
      </c>
      <c r="C150" s="517" t="s">
        <v>318</v>
      </c>
      <c r="D150" s="307" t="s">
        <v>319</v>
      </c>
      <c r="E150" s="280" t="s">
        <v>1968</v>
      </c>
      <c r="F150" s="280">
        <v>670</v>
      </c>
      <c r="G150" s="282">
        <v>115</v>
      </c>
      <c r="H150" s="282">
        <v>120</v>
      </c>
      <c r="I150" s="280"/>
      <c r="J150" s="293">
        <f t="shared" si="5"/>
        <v>80400</v>
      </c>
      <c r="K150" s="250"/>
      <c r="L150" s="250"/>
      <c r="M150" s="250"/>
      <c r="N150" s="250"/>
      <c r="O150" s="484"/>
      <c r="P150" s="250"/>
    </row>
    <row r="151" spans="2:19">
      <c r="B151" s="280">
        <v>12</v>
      </c>
      <c r="C151" s="517" t="s">
        <v>318</v>
      </c>
      <c r="D151" s="307" t="s">
        <v>320</v>
      </c>
      <c r="E151" s="280" t="s">
        <v>1968</v>
      </c>
      <c r="F151" s="280">
        <v>100</v>
      </c>
      <c r="G151" s="282">
        <v>185</v>
      </c>
      <c r="H151" s="282">
        <v>185</v>
      </c>
      <c r="I151" s="280"/>
      <c r="J151" s="293">
        <f t="shared" si="5"/>
        <v>18500</v>
      </c>
      <c r="K151" s="250"/>
      <c r="L151" s="250"/>
      <c r="M151" s="250"/>
      <c r="N151" s="250"/>
      <c r="O151" s="484"/>
      <c r="P151" s="250"/>
    </row>
    <row r="152" spans="2:19" ht="31.5">
      <c r="B152" s="280">
        <v>13</v>
      </c>
      <c r="C152" s="517" t="s">
        <v>321</v>
      </c>
      <c r="D152" s="307" t="s">
        <v>322</v>
      </c>
      <c r="E152" s="280" t="s">
        <v>1968</v>
      </c>
      <c r="F152" s="280">
        <v>450</v>
      </c>
      <c r="G152" s="282">
        <v>25</v>
      </c>
      <c r="H152" s="282">
        <v>25</v>
      </c>
      <c r="I152" s="280"/>
      <c r="J152" s="293">
        <f t="shared" si="5"/>
        <v>11250</v>
      </c>
      <c r="K152" s="250"/>
      <c r="L152" s="250"/>
      <c r="M152" s="250"/>
      <c r="N152" s="250"/>
      <c r="O152" s="484"/>
      <c r="P152" s="250"/>
    </row>
    <row r="153" spans="2:19">
      <c r="B153" s="280">
        <v>14</v>
      </c>
      <c r="C153" s="517" t="s">
        <v>323</v>
      </c>
      <c r="D153" s="307" t="s">
        <v>324</v>
      </c>
      <c r="E153" s="280" t="s">
        <v>1968</v>
      </c>
      <c r="F153" s="280">
        <v>100</v>
      </c>
      <c r="G153" s="282">
        <v>28</v>
      </c>
      <c r="H153" s="282">
        <v>28</v>
      </c>
      <c r="I153" s="280"/>
      <c r="J153" s="293">
        <f t="shared" si="5"/>
        <v>2800</v>
      </c>
      <c r="K153" s="250"/>
      <c r="L153" s="250"/>
      <c r="M153" s="250"/>
      <c r="N153" s="250"/>
      <c r="O153" s="484"/>
      <c r="P153" s="250"/>
    </row>
    <row r="154" spans="2:19">
      <c r="B154" s="280">
        <v>15</v>
      </c>
      <c r="C154" s="517" t="s">
        <v>323</v>
      </c>
      <c r="D154" s="307" t="s">
        <v>325</v>
      </c>
      <c r="E154" s="280" t="s">
        <v>1968</v>
      </c>
      <c r="F154" s="280">
        <v>550</v>
      </c>
      <c r="G154" s="282">
        <v>19</v>
      </c>
      <c r="H154" s="282">
        <v>18</v>
      </c>
      <c r="I154" s="280"/>
      <c r="J154" s="293">
        <f t="shared" si="5"/>
        <v>9900</v>
      </c>
      <c r="K154" s="250"/>
      <c r="L154" s="250"/>
      <c r="M154" s="250"/>
      <c r="N154" s="250"/>
      <c r="O154" s="484"/>
      <c r="P154" s="250"/>
    </row>
    <row r="155" spans="2:19">
      <c r="B155" s="280">
        <v>16</v>
      </c>
      <c r="C155" s="518" t="s">
        <v>326</v>
      </c>
      <c r="D155" s="307" t="s">
        <v>327</v>
      </c>
      <c r="E155" s="280" t="s">
        <v>1968</v>
      </c>
      <c r="F155" s="280">
        <v>24</v>
      </c>
      <c r="G155" s="282">
        <v>365</v>
      </c>
      <c r="H155" s="282">
        <v>342.4</v>
      </c>
      <c r="I155" s="280"/>
      <c r="J155" s="293">
        <f t="shared" si="5"/>
        <v>8217.5999999999985</v>
      </c>
      <c r="K155" s="250"/>
      <c r="L155" s="250"/>
      <c r="M155" s="250"/>
      <c r="N155" s="250"/>
      <c r="O155" s="484"/>
      <c r="P155" s="250"/>
    </row>
    <row r="156" spans="2:19" ht="31.5">
      <c r="B156" s="280">
        <v>17</v>
      </c>
      <c r="C156" s="517" t="s">
        <v>328</v>
      </c>
      <c r="D156" s="307" t="s">
        <v>329</v>
      </c>
      <c r="E156" s="280" t="s">
        <v>1968</v>
      </c>
      <c r="F156" s="280">
        <v>10</v>
      </c>
      <c r="G156" s="282">
        <v>68</v>
      </c>
      <c r="H156" s="282">
        <v>41</v>
      </c>
      <c r="I156" s="280"/>
      <c r="J156" s="293">
        <f t="shared" si="5"/>
        <v>410</v>
      </c>
      <c r="K156" s="250"/>
      <c r="L156" s="250"/>
      <c r="M156" s="250"/>
      <c r="N156" s="250"/>
      <c r="O156" s="484"/>
      <c r="P156" s="250"/>
    </row>
    <row r="157" spans="2:19">
      <c r="B157" s="280">
        <v>18</v>
      </c>
      <c r="C157" s="517" t="s">
        <v>330</v>
      </c>
      <c r="D157" s="307" t="s">
        <v>331</v>
      </c>
      <c r="E157" s="280" t="s">
        <v>1968</v>
      </c>
      <c r="F157" s="280">
        <v>5</v>
      </c>
      <c r="G157" s="282">
        <v>280</v>
      </c>
      <c r="H157" s="282">
        <f>G157*1.07</f>
        <v>299.60000000000002</v>
      </c>
      <c r="I157" s="280"/>
      <c r="J157" s="293">
        <f t="shared" si="5"/>
        <v>1498</v>
      </c>
      <c r="K157" s="250"/>
      <c r="L157" s="250"/>
      <c r="M157" s="250"/>
      <c r="N157" s="250"/>
      <c r="O157" s="484"/>
      <c r="P157" s="250"/>
    </row>
    <row r="158" spans="2:19">
      <c r="B158" s="280">
        <v>19</v>
      </c>
      <c r="C158" s="517" t="s">
        <v>330</v>
      </c>
      <c r="D158" s="307" t="s">
        <v>332</v>
      </c>
      <c r="E158" s="280" t="s">
        <v>1968</v>
      </c>
      <c r="F158" s="280">
        <v>10</v>
      </c>
      <c r="G158" s="282">
        <v>160</v>
      </c>
      <c r="H158" s="282">
        <f>G158*1.07</f>
        <v>171.20000000000002</v>
      </c>
      <c r="I158" s="280"/>
      <c r="J158" s="293">
        <f t="shared" si="5"/>
        <v>1712.0000000000002</v>
      </c>
      <c r="K158" s="250"/>
      <c r="L158" s="250"/>
      <c r="M158" s="250"/>
      <c r="N158" s="250"/>
      <c r="O158" s="484"/>
      <c r="P158" s="250"/>
    </row>
    <row r="159" spans="2:19">
      <c r="B159" s="280">
        <v>20</v>
      </c>
      <c r="C159" s="518" t="s">
        <v>333</v>
      </c>
      <c r="D159" s="344" t="s">
        <v>334</v>
      </c>
      <c r="E159" s="280" t="s">
        <v>1968</v>
      </c>
      <c r="F159" s="280">
        <v>20</v>
      </c>
      <c r="G159" s="282">
        <v>280</v>
      </c>
      <c r="H159" s="282">
        <v>214</v>
      </c>
      <c r="I159" s="280"/>
      <c r="J159" s="293">
        <f t="shared" si="5"/>
        <v>4280</v>
      </c>
      <c r="K159" s="250"/>
      <c r="L159" s="250"/>
      <c r="M159" s="250"/>
      <c r="N159" s="250"/>
      <c r="O159" s="484"/>
      <c r="P159" s="250"/>
    </row>
    <row r="160" spans="2:19">
      <c r="B160" s="280">
        <v>21</v>
      </c>
      <c r="C160" s="517" t="s">
        <v>335</v>
      </c>
      <c r="D160" s="307" t="s">
        <v>336</v>
      </c>
      <c r="E160" s="280" t="s">
        <v>1968</v>
      </c>
      <c r="F160" s="280">
        <v>300</v>
      </c>
      <c r="G160" s="282">
        <v>28</v>
      </c>
      <c r="H160" s="282">
        <v>28</v>
      </c>
      <c r="I160" s="280"/>
      <c r="J160" s="293">
        <f t="shared" si="5"/>
        <v>8400</v>
      </c>
      <c r="K160" s="250"/>
      <c r="L160" s="250"/>
      <c r="M160" s="250"/>
      <c r="N160" s="250"/>
      <c r="O160" s="484"/>
      <c r="P160" s="250"/>
    </row>
    <row r="161" spans="2:16">
      <c r="B161" s="280">
        <v>22</v>
      </c>
      <c r="C161" s="517" t="s">
        <v>337</v>
      </c>
      <c r="D161" s="307" t="s">
        <v>338</v>
      </c>
      <c r="E161" s="280" t="s">
        <v>1968</v>
      </c>
      <c r="F161" s="280">
        <v>20</v>
      </c>
      <c r="G161" s="282">
        <v>33</v>
      </c>
      <c r="H161" s="282">
        <f>G161*1.07</f>
        <v>35.31</v>
      </c>
      <c r="I161" s="280"/>
      <c r="J161" s="293">
        <f t="shared" si="5"/>
        <v>706.2</v>
      </c>
      <c r="K161" s="250"/>
      <c r="L161" s="250"/>
      <c r="M161" s="250"/>
      <c r="N161" s="250"/>
      <c r="O161" s="484"/>
      <c r="P161" s="250"/>
    </row>
    <row r="162" spans="2:16">
      <c r="B162" s="280">
        <v>23</v>
      </c>
      <c r="C162" s="517" t="s">
        <v>337</v>
      </c>
      <c r="D162" s="307" t="s">
        <v>339</v>
      </c>
      <c r="E162" s="280" t="s">
        <v>1968</v>
      </c>
      <c r="F162" s="280">
        <v>20</v>
      </c>
      <c r="G162" s="282">
        <v>21</v>
      </c>
      <c r="H162" s="282">
        <f>G162*1.07</f>
        <v>22.470000000000002</v>
      </c>
      <c r="I162" s="280"/>
      <c r="J162" s="293">
        <f t="shared" si="5"/>
        <v>449.40000000000003</v>
      </c>
      <c r="K162" s="250"/>
      <c r="L162" s="250"/>
      <c r="M162" s="250"/>
      <c r="N162" s="250"/>
      <c r="O162" s="484"/>
      <c r="P162" s="250"/>
    </row>
    <row r="163" spans="2:16">
      <c r="B163" s="280">
        <v>24</v>
      </c>
      <c r="C163" s="517" t="s">
        <v>310</v>
      </c>
      <c r="D163" s="307" t="s">
        <v>340</v>
      </c>
      <c r="E163" s="280" t="s">
        <v>1968</v>
      </c>
      <c r="F163" s="280">
        <v>50</v>
      </c>
      <c r="G163" s="282">
        <v>145</v>
      </c>
      <c r="H163" s="282">
        <v>139.1</v>
      </c>
      <c r="I163" s="280"/>
      <c r="J163" s="293">
        <f t="shared" si="5"/>
        <v>6955</v>
      </c>
      <c r="K163" s="250"/>
      <c r="L163" s="250"/>
      <c r="M163" s="250"/>
      <c r="N163" s="250"/>
      <c r="O163" s="484"/>
      <c r="P163" s="250"/>
    </row>
    <row r="164" spans="2:16" ht="31.5">
      <c r="B164" s="280">
        <v>25</v>
      </c>
      <c r="C164" s="517" t="s">
        <v>341</v>
      </c>
      <c r="D164" s="307" t="s">
        <v>342</v>
      </c>
      <c r="E164" s="280" t="s">
        <v>1968</v>
      </c>
      <c r="F164" s="280">
        <v>1000</v>
      </c>
      <c r="G164" s="282">
        <v>105</v>
      </c>
      <c r="H164" s="282">
        <v>117.7</v>
      </c>
      <c r="I164" s="280"/>
      <c r="J164" s="293">
        <f t="shared" si="5"/>
        <v>117700</v>
      </c>
      <c r="K164" s="250"/>
      <c r="L164" s="250"/>
      <c r="M164" s="250"/>
      <c r="N164" s="250"/>
      <c r="O164" s="484"/>
      <c r="P164" s="250"/>
    </row>
    <row r="165" spans="2:16">
      <c r="B165" s="280">
        <v>26</v>
      </c>
      <c r="C165" s="517" t="s">
        <v>343</v>
      </c>
      <c r="D165" s="307" t="s">
        <v>344</v>
      </c>
      <c r="E165" s="280" t="s">
        <v>1974</v>
      </c>
      <c r="F165" s="280">
        <v>125</v>
      </c>
      <c r="G165" s="282">
        <v>45</v>
      </c>
      <c r="H165" s="282">
        <v>44.94</v>
      </c>
      <c r="I165" s="280"/>
      <c r="J165" s="293">
        <f t="shared" si="5"/>
        <v>5617.5</v>
      </c>
      <c r="K165" s="250"/>
      <c r="L165" s="250"/>
      <c r="M165" s="250"/>
      <c r="N165" s="250"/>
      <c r="O165" s="484"/>
      <c r="P165" s="250"/>
    </row>
    <row r="166" spans="2:16">
      <c r="B166" s="280">
        <v>27</v>
      </c>
      <c r="C166" s="517" t="s">
        <v>345</v>
      </c>
      <c r="D166" s="307" t="s">
        <v>346</v>
      </c>
      <c r="E166" s="280" t="s">
        <v>1974</v>
      </c>
      <c r="F166" s="280">
        <v>50</v>
      </c>
      <c r="G166" s="282">
        <v>117</v>
      </c>
      <c r="H166" s="282">
        <v>117</v>
      </c>
      <c r="I166" s="280"/>
      <c r="J166" s="293">
        <f t="shared" si="5"/>
        <v>5850</v>
      </c>
      <c r="K166" s="250"/>
      <c r="L166" s="250"/>
      <c r="M166" s="250"/>
      <c r="N166" s="250"/>
      <c r="O166" s="484"/>
      <c r="P166" s="250"/>
    </row>
    <row r="167" spans="2:16">
      <c r="B167" s="280">
        <v>28</v>
      </c>
      <c r="C167" s="517" t="s">
        <v>345</v>
      </c>
      <c r="D167" s="307" t="s">
        <v>347</v>
      </c>
      <c r="E167" s="280" t="s">
        <v>1974</v>
      </c>
      <c r="F167" s="280">
        <v>20</v>
      </c>
      <c r="G167" s="282">
        <v>235</v>
      </c>
      <c r="H167" s="282">
        <v>235</v>
      </c>
      <c r="I167" s="280"/>
      <c r="J167" s="293">
        <f t="shared" si="5"/>
        <v>4700</v>
      </c>
      <c r="K167" s="250"/>
      <c r="L167" s="250"/>
      <c r="M167" s="250"/>
      <c r="N167" s="250"/>
      <c r="O167" s="484"/>
      <c r="P167" s="250"/>
    </row>
    <row r="168" spans="2:16">
      <c r="B168" s="280">
        <v>29</v>
      </c>
      <c r="C168" s="517" t="s">
        <v>348</v>
      </c>
      <c r="D168" s="307" t="s">
        <v>349</v>
      </c>
      <c r="E168" s="280" t="s">
        <v>1974</v>
      </c>
      <c r="F168" s="280">
        <v>40</v>
      </c>
      <c r="G168" s="282">
        <v>140</v>
      </c>
      <c r="H168" s="282">
        <v>140</v>
      </c>
      <c r="I168" s="280"/>
      <c r="J168" s="293">
        <f t="shared" si="5"/>
        <v>5600</v>
      </c>
      <c r="K168" s="250"/>
      <c r="L168" s="250"/>
      <c r="M168" s="250"/>
      <c r="N168" s="250"/>
      <c r="O168" s="484"/>
      <c r="P168" s="250"/>
    </row>
    <row r="169" spans="2:16">
      <c r="B169" s="280">
        <v>30</v>
      </c>
      <c r="C169" s="517" t="s">
        <v>348</v>
      </c>
      <c r="D169" s="307" t="s">
        <v>350</v>
      </c>
      <c r="E169" s="280" t="s">
        <v>1974</v>
      </c>
      <c r="F169" s="280">
        <v>20</v>
      </c>
      <c r="G169" s="282">
        <v>240</v>
      </c>
      <c r="H169" s="282">
        <v>235</v>
      </c>
      <c r="I169" s="280"/>
      <c r="J169" s="293">
        <f t="shared" si="5"/>
        <v>4700</v>
      </c>
      <c r="K169" s="250"/>
      <c r="L169" s="250"/>
      <c r="M169" s="250"/>
      <c r="N169" s="250"/>
      <c r="O169" s="484"/>
      <c r="P169" s="250"/>
    </row>
    <row r="170" spans="2:16">
      <c r="B170" s="280">
        <v>31</v>
      </c>
      <c r="C170" s="517" t="s">
        <v>351</v>
      </c>
      <c r="D170" s="307" t="s">
        <v>352</v>
      </c>
      <c r="E170" s="280" t="s">
        <v>1974</v>
      </c>
      <c r="F170" s="280">
        <v>45</v>
      </c>
      <c r="G170" s="282">
        <v>25</v>
      </c>
      <c r="H170" s="282">
        <v>25</v>
      </c>
      <c r="I170" s="280"/>
      <c r="J170" s="293">
        <f t="shared" si="5"/>
        <v>1125</v>
      </c>
      <c r="K170" s="250"/>
      <c r="L170" s="250"/>
      <c r="M170" s="250"/>
      <c r="N170" s="250"/>
      <c r="O170" s="484"/>
      <c r="P170" s="250"/>
    </row>
    <row r="171" spans="2:16">
      <c r="B171" s="280">
        <v>32</v>
      </c>
      <c r="C171" s="517" t="s">
        <v>353</v>
      </c>
      <c r="D171" s="307" t="s">
        <v>354</v>
      </c>
      <c r="E171" s="280" t="s">
        <v>1974</v>
      </c>
      <c r="F171" s="280">
        <v>5</v>
      </c>
      <c r="G171" s="282">
        <v>255</v>
      </c>
      <c r="H171" s="282">
        <v>267.5</v>
      </c>
      <c r="I171" s="280"/>
      <c r="J171" s="293">
        <f t="shared" si="5"/>
        <v>1337.5</v>
      </c>
      <c r="K171" s="250"/>
      <c r="L171" s="250"/>
      <c r="M171" s="250"/>
      <c r="N171" s="250"/>
      <c r="O171" s="484"/>
      <c r="P171" s="250"/>
    </row>
    <row r="172" spans="2:16">
      <c r="B172" s="280">
        <v>33</v>
      </c>
      <c r="C172" s="517" t="s">
        <v>355</v>
      </c>
      <c r="D172" s="307" t="s">
        <v>356</v>
      </c>
      <c r="E172" s="280" t="s">
        <v>1974</v>
      </c>
      <c r="F172" s="280">
        <v>10</v>
      </c>
      <c r="G172" s="282">
        <v>165</v>
      </c>
      <c r="H172" s="282">
        <f>G172*1.07</f>
        <v>176.55</v>
      </c>
      <c r="I172" s="280"/>
      <c r="J172" s="293">
        <f t="shared" si="5"/>
        <v>1765.5</v>
      </c>
      <c r="K172" s="250"/>
      <c r="L172" s="250"/>
      <c r="M172" s="250"/>
      <c r="N172" s="250"/>
      <c r="O172" s="484"/>
      <c r="P172" s="250"/>
    </row>
    <row r="173" spans="2:16">
      <c r="B173" s="280">
        <v>34</v>
      </c>
      <c r="C173" s="517" t="s">
        <v>355</v>
      </c>
      <c r="D173" s="307" t="s">
        <v>357</v>
      </c>
      <c r="E173" s="280" t="s">
        <v>1974</v>
      </c>
      <c r="F173" s="280">
        <v>20</v>
      </c>
      <c r="G173" s="282">
        <v>330</v>
      </c>
      <c r="H173" s="282">
        <v>331.7</v>
      </c>
      <c r="I173" s="280"/>
      <c r="J173" s="293">
        <f t="shared" si="5"/>
        <v>6634</v>
      </c>
      <c r="K173" s="250"/>
      <c r="L173" s="250"/>
      <c r="M173" s="250"/>
      <c r="N173" s="250"/>
      <c r="O173" s="484"/>
      <c r="P173" s="250"/>
    </row>
    <row r="174" spans="2:16" ht="31.5">
      <c r="B174" s="280">
        <v>35</v>
      </c>
      <c r="C174" s="517" t="s">
        <v>358</v>
      </c>
      <c r="D174" s="307" t="s">
        <v>359</v>
      </c>
      <c r="E174" s="280" t="s">
        <v>1974</v>
      </c>
      <c r="F174" s="280">
        <v>50</v>
      </c>
      <c r="G174" s="282">
        <v>750</v>
      </c>
      <c r="H174" s="282">
        <v>740</v>
      </c>
      <c r="I174" s="280"/>
      <c r="J174" s="293">
        <f t="shared" si="5"/>
        <v>37000</v>
      </c>
      <c r="K174" s="250"/>
      <c r="L174" s="250"/>
      <c r="M174" s="250"/>
      <c r="N174" s="250"/>
      <c r="O174" s="484"/>
      <c r="P174" s="250"/>
    </row>
    <row r="175" spans="2:16" ht="31.5">
      <c r="B175" s="280">
        <v>39</v>
      </c>
      <c r="C175" s="517" t="s">
        <v>361</v>
      </c>
      <c r="D175" s="307" t="s">
        <v>362</v>
      </c>
      <c r="E175" s="280" t="s">
        <v>360</v>
      </c>
      <c r="F175" s="280">
        <v>100</v>
      </c>
      <c r="G175" s="282">
        <v>95</v>
      </c>
      <c r="H175" s="282">
        <v>115</v>
      </c>
      <c r="I175" s="280"/>
      <c r="J175" s="293">
        <f t="shared" si="5"/>
        <v>11500</v>
      </c>
      <c r="K175" s="250"/>
      <c r="L175" s="250"/>
      <c r="M175" s="250"/>
      <c r="N175" s="250"/>
      <c r="O175" s="484"/>
      <c r="P175" s="250"/>
    </row>
    <row r="176" spans="2:16" ht="31.5">
      <c r="B176" s="280">
        <v>40</v>
      </c>
      <c r="C176" s="518" t="s">
        <v>363</v>
      </c>
      <c r="D176" s="307" t="s">
        <v>364</v>
      </c>
      <c r="E176" s="280" t="s">
        <v>360</v>
      </c>
      <c r="F176" s="280">
        <v>100</v>
      </c>
      <c r="G176" s="282">
        <v>350</v>
      </c>
      <c r="H176" s="282">
        <v>330</v>
      </c>
      <c r="I176" s="280"/>
      <c r="J176" s="293">
        <f t="shared" si="5"/>
        <v>33000</v>
      </c>
      <c r="K176" s="250"/>
      <c r="L176" s="250"/>
      <c r="M176" s="250"/>
      <c r="N176" s="250"/>
      <c r="O176" s="484"/>
      <c r="P176" s="250"/>
    </row>
    <row r="177" spans="2:16" ht="31.5">
      <c r="B177" s="280">
        <v>41</v>
      </c>
      <c r="C177" s="518" t="s">
        <v>365</v>
      </c>
      <c r="D177" s="307" t="s">
        <v>366</v>
      </c>
      <c r="E177" s="280" t="s">
        <v>360</v>
      </c>
      <c r="F177" s="280">
        <v>500</v>
      </c>
      <c r="G177" s="282">
        <v>100</v>
      </c>
      <c r="H177" s="282">
        <v>100</v>
      </c>
      <c r="I177" s="280"/>
      <c r="J177" s="293">
        <f t="shared" si="5"/>
        <v>50000</v>
      </c>
      <c r="K177" s="250"/>
      <c r="L177" s="250"/>
      <c r="M177" s="250"/>
      <c r="N177" s="250"/>
      <c r="O177" s="484"/>
      <c r="P177" s="250"/>
    </row>
    <row r="178" spans="2:16">
      <c r="B178" s="280">
        <v>42</v>
      </c>
      <c r="C178" s="517" t="s">
        <v>367</v>
      </c>
      <c r="D178" s="307" t="s">
        <v>368</v>
      </c>
      <c r="E178" s="280" t="s">
        <v>1968</v>
      </c>
      <c r="F178" s="280">
        <v>50</v>
      </c>
      <c r="G178" s="282">
        <v>22</v>
      </c>
      <c r="H178" s="282">
        <v>19.260000000000002</v>
      </c>
      <c r="I178" s="280"/>
      <c r="J178" s="293">
        <f t="shared" si="5"/>
        <v>963.00000000000011</v>
      </c>
      <c r="K178" s="250"/>
      <c r="L178" s="250"/>
      <c r="M178" s="250"/>
      <c r="N178" s="250"/>
      <c r="O178" s="484"/>
      <c r="P178" s="250"/>
    </row>
    <row r="179" spans="2:16" ht="31.5">
      <c r="B179" s="280">
        <v>43</v>
      </c>
      <c r="C179" s="518" t="s">
        <v>326</v>
      </c>
      <c r="D179" s="307" t="s">
        <v>369</v>
      </c>
      <c r="E179" s="280" t="s">
        <v>370</v>
      </c>
      <c r="F179" s="280">
        <v>100</v>
      </c>
      <c r="G179" s="282">
        <v>250</v>
      </c>
      <c r="H179" s="282">
        <v>267.5</v>
      </c>
      <c r="I179" s="280"/>
      <c r="J179" s="293">
        <f t="shared" si="5"/>
        <v>26750</v>
      </c>
      <c r="K179" s="250"/>
      <c r="L179" s="250"/>
      <c r="M179" s="250"/>
      <c r="N179" s="250"/>
      <c r="O179" s="484"/>
      <c r="P179" s="250"/>
    </row>
    <row r="180" spans="2:16" ht="31.5">
      <c r="B180" s="280">
        <v>44</v>
      </c>
      <c r="C180" s="517" t="s">
        <v>371</v>
      </c>
      <c r="D180" s="307" t="s">
        <v>372</v>
      </c>
      <c r="E180" s="280" t="s">
        <v>1968</v>
      </c>
      <c r="F180" s="280">
        <v>50</v>
      </c>
      <c r="G180" s="282">
        <v>50</v>
      </c>
      <c r="H180" s="282">
        <v>48.15</v>
      </c>
      <c r="I180" s="280"/>
      <c r="J180" s="293">
        <f t="shared" si="5"/>
        <v>2407.5</v>
      </c>
      <c r="K180" s="250"/>
      <c r="L180" s="250"/>
      <c r="M180" s="250"/>
      <c r="N180" s="250"/>
      <c r="O180" s="484"/>
      <c r="P180" s="250"/>
    </row>
    <row r="181" spans="2:16">
      <c r="B181" s="280">
        <v>45</v>
      </c>
      <c r="C181" s="518" t="s">
        <v>373</v>
      </c>
      <c r="D181" s="307" t="s">
        <v>374</v>
      </c>
      <c r="E181" s="280" t="s">
        <v>1974</v>
      </c>
      <c r="F181" s="280">
        <v>10</v>
      </c>
      <c r="G181" s="282">
        <v>130</v>
      </c>
      <c r="H181" s="282">
        <v>149.80000000000001</v>
      </c>
      <c r="I181" s="280"/>
      <c r="J181" s="293">
        <f t="shared" si="5"/>
        <v>1498</v>
      </c>
      <c r="K181" s="250"/>
      <c r="L181" s="250"/>
      <c r="M181" s="250"/>
      <c r="N181" s="250"/>
      <c r="O181" s="484"/>
      <c r="P181" s="250"/>
    </row>
    <row r="182" spans="2:16">
      <c r="B182" s="280">
        <v>46</v>
      </c>
      <c r="C182" s="517" t="s">
        <v>314</v>
      </c>
      <c r="D182" s="307" t="s">
        <v>375</v>
      </c>
      <c r="E182" s="280" t="s">
        <v>1974</v>
      </c>
      <c r="F182" s="280">
        <v>170</v>
      </c>
      <c r="G182" s="282">
        <v>54</v>
      </c>
      <c r="H182" s="282">
        <v>48.15</v>
      </c>
      <c r="I182" s="280"/>
      <c r="J182" s="293">
        <f>H182*F182</f>
        <v>8185.5</v>
      </c>
      <c r="K182" s="250"/>
      <c r="L182" s="250"/>
      <c r="M182" s="250"/>
      <c r="N182" s="250"/>
      <c r="O182" s="484"/>
      <c r="P182" s="250"/>
    </row>
    <row r="183" spans="2:16">
      <c r="B183" s="280"/>
      <c r="C183" s="519"/>
      <c r="D183" s="284"/>
      <c r="E183" s="280"/>
      <c r="F183" s="280"/>
      <c r="G183" s="280" t="s">
        <v>376</v>
      </c>
      <c r="H183" s="280"/>
      <c r="I183" s="520"/>
      <c r="J183" s="293">
        <f>SUM(J140:J182)</f>
        <v>971069.96</v>
      </c>
      <c r="K183" s="176"/>
      <c r="L183" s="250"/>
      <c r="M183" s="176"/>
      <c r="N183" s="176"/>
      <c r="O183" s="493"/>
      <c r="P183" s="176"/>
    </row>
    <row r="184" spans="2:16">
      <c r="B184" s="495"/>
      <c r="C184" s="521"/>
      <c r="D184" s="522"/>
      <c r="E184" s="495"/>
      <c r="F184" s="495"/>
      <c r="G184" s="499"/>
      <c r="H184" s="499"/>
      <c r="I184" s="495"/>
      <c r="J184" s="523"/>
      <c r="K184" s="250"/>
      <c r="L184" s="250"/>
      <c r="M184" s="250"/>
      <c r="N184" s="250"/>
      <c r="O184" s="484"/>
      <c r="P184" s="250"/>
    </row>
    <row r="185" spans="2:16" ht="19.5">
      <c r="B185" s="495"/>
      <c r="C185" s="496" t="s">
        <v>1342</v>
      </c>
      <c r="D185" s="497"/>
      <c r="E185" s="498" t="s">
        <v>535</v>
      </c>
      <c r="F185" s="499"/>
      <c r="G185" s="500"/>
      <c r="H185" s="501"/>
      <c r="I185" s="501"/>
      <c r="J185" s="502"/>
      <c r="K185" s="503"/>
      <c r="L185" s="504"/>
      <c r="M185" s="503"/>
      <c r="N185" s="503"/>
      <c r="O185" s="505"/>
      <c r="P185" s="503"/>
    </row>
    <row r="186" spans="2:16" ht="19.5">
      <c r="B186" s="495"/>
      <c r="C186" s="496"/>
      <c r="D186" s="497"/>
      <c r="E186" s="498"/>
      <c r="F186" s="499"/>
      <c r="G186" s="500"/>
      <c r="H186" s="501"/>
      <c r="I186" s="501"/>
      <c r="J186" s="502"/>
      <c r="K186" s="503"/>
      <c r="L186" s="504"/>
      <c r="M186" s="503"/>
      <c r="N186" s="503"/>
      <c r="O186" s="505"/>
      <c r="P186" s="503"/>
    </row>
    <row r="187" spans="2:16" ht="19.5">
      <c r="B187" s="495"/>
      <c r="C187" s="496"/>
      <c r="D187" s="497"/>
      <c r="E187" s="498"/>
      <c r="F187" s="499"/>
      <c r="G187" s="500"/>
      <c r="H187" s="501"/>
      <c r="I187" s="501"/>
      <c r="J187" s="502"/>
      <c r="K187" s="503"/>
      <c r="L187" s="504"/>
      <c r="M187" s="503"/>
      <c r="N187" s="503"/>
      <c r="O187" s="505"/>
      <c r="P187" s="503"/>
    </row>
    <row r="188" spans="2:16" ht="19.5">
      <c r="B188" s="495"/>
      <c r="C188" s="524" t="s">
        <v>582</v>
      </c>
      <c r="D188" s="486" t="s">
        <v>964</v>
      </c>
      <c r="E188" s="480"/>
      <c r="F188" s="480"/>
      <c r="G188" s="480"/>
      <c r="H188" s="501"/>
      <c r="I188" s="501"/>
      <c r="J188" s="502"/>
      <c r="K188" s="503"/>
      <c r="L188" s="504"/>
      <c r="M188" s="503"/>
      <c r="N188" s="503"/>
      <c r="O188" s="505"/>
      <c r="P188" s="503"/>
    </row>
    <row r="189" spans="2:16" ht="19.5">
      <c r="B189" s="495"/>
      <c r="C189" s="481"/>
      <c r="D189" s="482"/>
      <c r="E189" s="480"/>
      <c r="F189" s="480"/>
      <c r="G189" s="480"/>
      <c r="H189" s="501"/>
      <c r="I189" s="501"/>
      <c r="J189" s="502"/>
      <c r="K189" s="503"/>
      <c r="L189" s="504"/>
      <c r="M189" s="503"/>
      <c r="N189" s="503"/>
      <c r="O189" s="505"/>
      <c r="P189" s="503"/>
    </row>
    <row r="190" spans="2:16" ht="47.25">
      <c r="B190" s="487" t="s">
        <v>1835</v>
      </c>
      <c r="C190" s="488" t="s">
        <v>560</v>
      </c>
      <c r="D190" s="489" t="s">
        <v>965</v>
      </c>
      <c r="E190" s="259" t="s">
        <v>966</v>
      </c>
      <c r="F190" s="259" t="s">
        <v>967</v>
      </c>
      <c r="G190" s="490" t="s">
        <v>1963</v>
      </c>
      <c r="H190" s="490" t="s">
        <v>122</v>
      </c>
      <c r="I190" s="525" t="s">
        <v>708</v>
      </c>
      <c r="J190" s="492" t="s">
        <v>584</v>
      </c>
      <c r="K190" s="526"/>
      <c r="L190" s="527"/>
      <c r="M190" s="526"/>
      <c r="N190" s="526"/>
      <c r="O190" s="528"/>
      <c r="P190" s="526"/>
    </row>
    <row r="191" spans="2:16">
      <c r="B191" s="259">
        <v>1</v>
      </c>
      <c r="C191" s="517" t="s">
        <v>968</v>
      </c>
      <c r="D191" s="529" t="s">
        <v>969</v>
      </c>
      <c r="E191" s="259" t="s">
        <v>537</v>
      </c>
      <c r="F191" s="259">
        <v>2</v>
      </c>
      <c r="G191" s="280"/>
      <c r="H191" s="280">
        <v>234</v>
      </c>
      <c r="I191" s="282"/>
      <c r="J191" s="293">
        <f>F191*H191</f>
        <v>468</v>
      </c>
      <c r="K191" s="526"/>
      <c r="L191" s="527"/>
      <c r="M191" s="526"/>
      <c r="N191" s="526"/>
      <c r="O191" s="528"/>
      <c r="P191" s="526"/>
    </row>
    <row r="192" spans="2:16" ht="115.5">
      <c r="B192" s="259">
        <v>2</v>
      </c>
      <c r="C192" s="517" t="s">
        <v>538</v>
      </c>
      <c r="D192" s="529" t="s">
        <v>970</v>
      </c>
      <c r="E192" s="259" t="s">
        <v>539</v>
      </c>
      <c r="F192" s="259">
        <v>4</v>
      </c>
      <c r="G192" s="260"/>
      <c r="H192" s="260">
        <v>351</v>
      </c>
      <c r="I192" s="260"/>
      <c r="J192" s="293">
        <f>F192*H192</f>
        <v>1404</v>
      </c>
      <c r="K192" s="526"/>
      <c r="L192" s="527"/>
      <c r="M192" s="526"/>
      <c r="N192" s="526"/>
      <c r="O192" s="528"/>
      <c r="P192" s="526"/>
    </row>
    <row r="193" spans="2:17">
      <c r="B193" s="259">
        <v>3</v>
      </c>
      <c r="C193" s="517" t="s">
        <v>971</v>
      </c>
      <c r="D193" s="529" t="s">
        <v>972</v>
      </c>
      <c r="E193" s="259" t="s">
        <v>539</v>
      </c>
      <c r="F193" s="259">
        <v>2</v>
      </c>
      <c r="G193" s="260"/>
      <c r="H193" s="260">
        <v>1394</v>
      </c>
      <c r="I193" s="260"/>
      <c r="J193" s="293">
        <f t="shared" ref="J193:J241" si="6">F193*H193</f>
        <v>2788</v>
      </c>
      <c r="K193" s="526"/>
      <c r="L193" s="527"/>
      <c r="M193" s="526"/>
      <c r="N193" s="526"/>
      <c r="O193" s="528"/>
      <c r="P193" s="526"/>
    </row>
    <row r="194" spans="2:17" s="301" customFormat="1" ht="115.5">
      <c r="B194" s="259">
        <v>4</v>
      </c>
      <c r="C194" s="517" t="s">
        <v>973</v>
      </c>
      <c r="D194" s="529" t="s">
        <v>974</v>
      </c>
      <c r="E194" s="259" t="s">
        <v>539</v>
      </c>
      <c r="F194" s="259">
        <v>4</v>
      </c>
      <c r="G194" s="260"/>
      <c r="H194" s="260">
        <v>351</v>
      </c>
      <c r="I194" s="260"/>
      <c r="J194" s="293">
        <f t="shared" si="6"/>
        <v>1404</v>
      </c>
      <c r="K194" s="526"/>
      <c r="L194" s="527"/>
      <c r="M194" s="526"/>
      <c r="N194" s="526"/>
      <c r="O194" s="528"/>
      <c r="P194" s="526"/>
      <c r="Q194" s="670"/>
    </row>
    <row r="195" spans="2:17" ht="51.75">
      <c r="B195" s="259">
        <v>5</v>
      </c>
      <c r="C195" s="517" t="s">
        <v>975</v>
      </c>
      <c r="D195" s="529" t="s">
        <v>976</v>
      </c>
      <c r="E195" s="259" t="s">
        <v>539</v>
      </c>
      <c r="F195" s="259">
        <v>1</v>
      </c>
      <c r="G195" s="260"/>
      <c r="H195" s="260">
        <v>354</v>
      </c>
      <c r="I195" s="260"/>
      <c r="J195" s="293">
        <f t="shared" si="6"/>
        <v>354</v>
      </c>
      <c r="K195" s="526"/>
      <c r="L195" s="527"/>
      <c r="M195" s="526"/>
      <c r="N195" s="526"/>
      <c r="O195" s="528"/>
      <c r="P195" s="526"/>
    </row>
    <row r="196" spans="2:17" s="341" customFormat="1" ht="78">
      <c r="B196" s="259">
        <v>6</v>
      </c>
      <c r="C196" s="517" t="s">
        <v>540</v>
      </c>
      <c r="D196" s="529" t="s">
        <v>977</v>
      </c>
      <c r="E196" s="259" t="s">
        <v>539</v>
      </c>
      <c r="F196" s="259">
        <v>3</v>
      </c>
      <c r="G196" s="260"/>
      <c r="H196" s="260">
        <v>342</v>
      </c>
      <c r="I196" s="260"/>
      <c r="J196" s="293">
        <f t="shared" si="6"/>
        <v>1026</v>
      </c>
      <c r="K196" s="526"/>
      <c r="L196" s="527"/>
      <c r="M196" s="526"/>
      <c r="N196" s="526"/>
      <c r="O196" s="528"/>
      <c r="P196" s="526"/>
      <c r="Q196" s="670"/>
    </row>
    <row r="197" spans="2:17" s="341" customFormat="1" ht="65.25">
      <c r="B197" s="530">
        <v>7</v>
      </c>
      <c r="C197" s="517" t="s">
        <v>978</v>
      </c>
      <c r="D197" s="531" t="s">
        <v>979</v>
      </c>
      <c r="E197" s="530" t="s">
        <v>980</v>
      </c>
      <c r="F197" s="259">
        <v>5</v>
      </c>
      <c r="G197" s="260"/>
      <c r="H197" s="260">
        <v>160</v>
      </c>
      <c r="I197" s="260"/>
      <c r="J197" s="293">
        <f t="shared" si="6"/>
        <v>800</v>
      </c>
      <c r="K197" s="526"/>
      <c r="L197" s="527"/>
      <c r="M197" s="526"/>
      <c r="N197" s="526"/>
      <c r="O197" s="528"/>
      <c r="P197" s="526"/>
      <c r="Q197" s="670"/>
    </row>
    <row r="198" spans="2:17" s="341" customFormat="1" ht="65.25">
      <c r="B198" s="259">
        <v>8</v>
      </c>
      <c r="C198" s="517" t="s">
        <v>981</v>
      </c>
      <c r="D198" s="529" t="s">
        <v>982</v>
      </c>
      <c r="E198" s="259" t="s">
        <v>1965</v>
      </c>
      <c r="F198" s="259">
        <v>1</v>
      </c>
      <c r="G198" s="260"/>
      <c r="H198" s="260">
        <v>520</v>
      </c>
      <c r="I198" s="260"/>
      <c r="J198" s="293">
        <f t="shared" si="6"/>
        <v>520</v>
      </c>
      <c r="K198" s="526"/>
      <c r="L198" s="527"/>
      <c r="M198" s="526"/>
      <c r="N198" s="526"/>
      <c r="O198" s="528"/>
      <c r="P198" s="526"/>
      <c r="Q198" s="670"/>
    </row>
    <row r="199" spans="2:17" s="341" customFormat="1" ht="65.25">
      <c r="B199" s="259">
        <v>9</v>
      </c>
      <c r="C199" s="517" t="s">
        <v>983</v>
      </c>
      <c r="D199" s="529" t="s">
        <v>984</v>
      </c>
      <c r="E199" s="259" t="s">
        <v>539</v>
      </c>
      <c r="F199" s="259">
        <v>20</v>
      </c>
      <c r="G199" s="260"/>
      <c r="H199" s="260">
        <v>251</v>
      </c>
      <c r="I199" s="260"/>
      <c r="J199" s="293">
        <f t="shared" si="6"/>
        <v>5020</v>
      </c>
      <c r="K199" s="526"/>
      <c r="L199" s="527"/>
      <c r="M199" s="526"/>
      <c r="N199" s="526"/>
      <c r="O199" s="528"/>
      <c r="P199" s="526"/>
      <c r="Q199" s="670"/>
    </row>
    <row r="200" spans="2:17" s="341" customFormat="1" ht="116.25">
      <c r="B200" s="259">
        <v>10</v>
      </c>
      <c r="C200" s="517" t="s">
        <v>541</v>
      </c>
      <c r="D200" s="529" t="s">
        <v>985</v>
      </c>
      <c r="E200" s="259" t="s">
        <v>539</v>
      </c>
      <c r="F200" s="259">
        <v>50</v>
      </c>
      <c r="G200" s="260"/>
      <c r="H200" s="260">
        <v>396</v>
      </c>
      <c r="I200" s="260"/>
      <c r="J200" s="293">
        <f t="shared" si="6"/>
        <v>19800</v>
      </c>
      <c r="K200" s="526"/>
      <c r="L200" s="527"/>
      <c r="M200" s="526"/>
      <c r="N200" s="526"/>
      <c r="O200" s="528"/>
      <c r="P200" s="526"/>
      <c r="Q200" s="670"/>
    </row>
    <row r="201" spans="2:17" s="343" customFormat="1">
      <c r="B201" s="259">
        <v>11</v>
      </c>
      <c r="C201" s="517" t="s">
        <v>986</v>
      </c>
      <c r="D201" s="529" t="s">
        <v>987</v>
      </c>
      <c r="E201" s="259" t="s">
        <v>539</v>
      </c>
      <c r="F201" s="259">
        <v>50</v>
      </c>
      <c r="G201" s="260"/>
      <c r="H201" s="260">
        <v>112</v>
      </c>
      <c r="I201" s="260"/>
      <c r="J201" s="293">
        <f t="shared" si="6"/>
        <v>5600</v>
      </c>
      <c r="K201" s="526"/>
      <c r="L201" s="527"/>
      <c r="M201" s="526"/>
      <c r="N201" s="526"/>
      <c r="O201" s="528"/>
      <c r="P201" s="526"/>
    </row>
    <row r="202" spans="2:17" s="343" customFormat="1" ht="115.5">
      <c r="B202" s="259">
        <v>12</v>
      </c>
      <c r="C202" s="517" t="s">
        <v>680</v>
      </c>
      <c r="D202" s="529" t="s">
        <v>988</v>
      </c>
      <c r="E202" s="259" t="s">
        <v>1965</v>
      </c>
      <c r="F202" s="259">
        <v>1</v>
      </c>
      <c r="G202" s="260"/>
      <c r="H202" s="260">
        <v>3058</v>
      </c>
      <c r="I202" s="260"/>
      <c r="J202" s="293">
        <f t="shared" si="6"/>
        <v>3058</v>
      </c>
      <c r="K202" s="526"/>
      <c r="L202" s="527"/>
      <c r="M202" s="526"/>
      <c r="N202" s="526"/>
      <c r="O202" s="528"/>
      <c r="P202" s="526"/>
    </row>
    <row r="203" spans="2:17" s="343" customFormat="1" ht="26.25">
      <c r="B203" s="259">
        <v>13</v>
      </c>
      <c r="C203" s="517" t="s">
        <v>989</v>
      </c>
      <c r="D203" s="529" t="s">
        <v>990</v>
      </c>
      <c r="E203" s="259" t="s">
        <v>991</v>
      </c>
      <c r="F203" s="259">
        <v>2</v>
      </c>
      <c r="G203" s="260"/>
      <c r="H203" s="260">
        <v>573</v>
      </c>
      <c r="I203" s="260"/>
      <c r="J203" s="532">
        <f t="shared" si="6"/>
        <v>1146</v>
      </c>
      <c r="K203" s="526"/>
      <c r="L203" s="527"/>
      <c r="M203" s="526"/>
      <c r="N203" s="526"/>
      <c r="O203" s="528"/>
      <c r="P203" s="526"/>
    </row>
    <row r="204" spans="2:17" s="343" customFormat="1" ht="77.25">
      <c r="B204" s="259">
        <v>14</v>
      </c>
      <c r="C204" s="517" t="s">
        <v>542</v>
      </c>
      <c r="D204" s="529" t="s">
        <v>992</v>
      </c>
      <c r="E204" s="259" t="s">
        <v>539</v>
      </c>
      <c r="F204" s="259">
        <v>1</v>
      </c>
      <c r="G204" s="260"/>
      <c r="H204" s="260">
        <v>425</v>
      </c>
      <c r="I204" s="260"/>
      <c r="J204" s="532">
        <f t="shared" si="6"/>
        <v>425</v>
      </c>
      <c r="K204" s="526"/>
      <c r="L204" s="527"/>
      <c r="M204" s="526"/>
      <c r="N204" s="526"/>
      <c r="O204" s="528"/>
      <c r="P204" s="526"/>
    </row>
    <row r="205" spans="2:17" s="343" customFormat="1" ht="64.5">
      <c r="B205" s="259">
        <v>15</v>
      </c>
      <c r="C205" s="517" t="s">
        <v>543</v>
      </c>
      <c r="D205" s="529" t="s">
        <v>993</v>
      </c>
      <c r="E205" s="259" t="s">
        <v>539</v>
      </c>
      <c r="F205" s="259">
        <v>1</v>
      </c>
      <c r="G205" s="260"/>
      <c r="H205" s="260">
        <v>464</v>
      </c>
      <c r="I205" s="260"/>
      <c r="J205" s="532">
        <f t="shared" si="6"/>
        <v>464</v>
      </c>
      <c r="K205" s="526"/>
      <c r="L205" s="527"/>
      <c r="M205" s="526"/>
      <c r="N205" s="526"/>
      <c r="O205" s="528"/>
      <c r="P205" s="526"/>
    </row>
    <row r="206" spans="2:17" s="343" customFormat="1">
      <c r="B206" s="530">
        <v>16</v>
      </c>
      <c r="C206" s="533" t="s">
        <v>681</v>
      </c>
      <c r="D206" s="531" t="s">
        <v>994</v>
      </c>
      <c r="E206" s="530" t="s">
        <v>1965</v>
      </c>
      <c r="F206" s="530">
        <v>5</v>
      </c>
      <c r="G206" s="260"/>
      <c r="H206" s="260">
        <v>1279</v>
      </c>
      <c r="I206" s="260"/>
      <c r="J206" s="532">
        <f t="shared" si="6"/>
        <v>6395</v>
      </c>
      <c r="K206" s="526"/>
      <c r="L206" s="527"/>
      <c r="M206" s="526"/>
      <c r="N206" s="526"/>
      <c r="O206" s="528"/>
      <c r="P206" s="526"/>
    </row>
    <row r="207" spans="2:17" s="343" customFormat="1">
      <c r="B207" s="259">
        <v>17</v>
      </c>
      <c r="C207" s="517" t="s">
        <v>544</v>
      </c>
      <c r="D207" s="529" t="s">
        <v>969</v>
      </c>
      <c r="E207" s="259" t="s">
        <v>995</v>
      </c>
      <c r="F207" s="259">
        <v>1</v>
      </c>
      <c r="G207" s="260"/>
      <c r="H207" s="260">
        <v>217</v>
      </c>
      <c r="I207" s="260"/>
      <c r="J207" s="532">
        <f t="shared" si="6"/>
        <v>217</v>
      </c>
      <c r="K207" s="526"/>
      <c r="L207" s="527"/>
      <c r="M207" s="526"/>
      <c r="N207" s="526"/>
      <c r="O207" s="528"/>
      <c r="P207" s="526"/>
    </row>
    <row r="208" spans="2:17" s="343" customFormat="1" ht="77.25">
      <c r="B208" s="259">
        <v>18</v>
      </c>
      <c r="C208" s="517" t="s">
        <v>545</v>
      </c>
      <c r="D208" s="529" t="s">
        <v>996</v>
      </c>
      <c r="E208" s="259" t="s">
        <v>539</v>
      </c>
      <c r="F208" s="259">
        <v>1</v>
      </c>
      <c r="G208" s="260"/>
      <c r="H208" s="260">
        <v>378</v>
      </c>
      <c r="I208" s="260"/>
      <c r="J208" s="532">
        <f t="shared" si="6"/>
        <v>378</v>
      </c>
      <c r="K208" s="526"/>
      <c r="L208" s="527"/>
      <c r="M208" s="526"/>
      <c r="N208" s="526"/>
      <c r="O208" s="528"/>
      <c r="P208" s="526"/>
    </row>
    <row r="209" spans="2:16" s="343" customFormat="1" ht="90">
      <c r="B209" s="259">
        <v>19</v>
      </c>
      <c r="C209" s="517" t="s">
        <v>546</v>
      </c>
      <c r="D209" s="529" t="s">
        <v>997</v>
      </c>
      <c r="E209" s="259" t="s">
        <v>539</v>
      </c>
      <c r="F209" s="259">
        <v>2</v>
      </c>
      <c r="G209" s="260"/>
      <c r="H209" s="260">
        <v>556</v>
      </c>
      <c r="I209" s="260"/>
      <c r="J209" s="532">
        <f t="shared" si="6"/>
        <v>1112</v>
      </c>
      <c r="K209" s="526"/>
      <c r="L209" s="527"/>
      <c r="M209" s="526"/>
      <c r="N209" s="526"/>
      <c r="O209" s="528"/>
      <c r="P209" s="526"/>
    </row>
    <row r="210" spans="2:16" s="343" customFormat="1" ht="39">
      <c r="B210" s="259">
        <v>20</v>
      </c>
      <c r="C210" s="517" t="s">
        <v>547</v>
      </c>
      <c r="D210" s="529" t="s">
        <v>998</v>
      </c>
      <c r="E210" s="259" t="s">
        <v>548</v>
      </c>
      <c r="F210" s="259">
        <v>3</v>
      </c>
      <c r="G210" s="260"/>
      <c r="H210" s="260">
        <v>1145</v>
      </c>
      <c r="I210" s="260"/>
      <c r="J210" s="532">
        <f t="shared" si="6"/>
        <v>3435</v>
      </c>
      <c r="K210" s="526"/>
      <c r="L210" s="527"/>
      <c r="M210" s="526"/>
      <c r="N210" s="526"/>
      <c r="O210" s="528"/>
      <c r="P210" s="526"/>
    </row>
    <row r="211" spans="2:16" s="343" customFormat="1" ht="77.25">
      <c r="B211" s="259">
        <v>21</v>
      </c>
      <c r="C211" s="517" t="s">
        <v>999</v>
      </c>
      <c r="D211" s="529" t="s">
        <v>1000</v>
      </c>
      <c r="E211" s="259" t="s">
        <v>1965</v>
      </c>
      <c r="F211" s="259">
        <v>3</v>
      </c>
      <c r="G211" s="260"/>
      <c r="H211" s="260">
        <v>378</v>
      </c>
      <c r="I211" s="260"/>
      <c r="J211" s="532">
        <f t="shared" si="6"/>
        <v>1134</v>
      </c>
      <c r="K211" s="526"/>
      <c r="L211" s="527"/>
      <c r="M211" s="526"/>
      <c r="N211" s="526"/>
      <c r="O211" s="528"/>
      <c r="P211" s="526"/>
    </row>
    <row r="212" spans="2:16" s="343" customFormat="1" ht="26.25">
      <c r="B212" s="259">
        <v>22</v>
      </c>
      <c r="C212" s="517" t="s">
        <v>1001</v>
      </c>
      <c r="D212" s="529" t="s">
        <v>1002</v>
      </c>
      <c r="E212" s="259" t="s">
        <v>1003</v>
      </c>
      <c r="F212" s="259">
        <v>2</v>
      </c>
      <c r="G212" s="260"/>
      <c r="H212" s="260">
        <v>792</v>
      </c>
      <c r="I212" s="260"/>
      <c r="J212" s="532">
        <f t="shared" si="6"/>
        <v>1584</v>
      </c>
      <c r="K212" s="526"/>
      <c r="L212" s="527"/>
      <c r="M212" s="526"/>
      <c r="N212" s="526"/>
      <c r="O212" s="528"/>
      <c r="P212" s="526"/>
    </row>
    <row r="213" spans="2:16" s="343" customFormat="1" ht="64.5">
      <c r="B213" s="259">
        <v>23</v>
      </c>
      <c r="C213" s="517" t="s">
        <v>1004</v>
      </c>
      <c r="D213" s="529" t="s">
        <v>0</v>
      </c>
      <c r="E213" s="259" t="s">
        <v>980</v>
      </c>
      <c r="F213" s="259">
        <v>20</v>
      </c>
      <c r="G213" s="260"/>
      <c r="H213" s="260">
        <v>291</v>
      </c>
      <c r="I213" s="260"/>
      <c r="J213" s="532">
        <f t="shared" si="6"/>
        <v>5820</v>
      </c>
      <c r="K213" s="526"/>
      <c r="L213" s="527"/>
      <c r="M213" s="526"/>
      <c r="N213" s="526"/>
      <c r="O213" s="528"/>
      <c r="P213" s="526"/>
    </row>
    <row r="214" spans="2:16" s="343" customFormat="1" ht="77.25">
      <c r="B214" s="259">
        <v>24</v>
      </c>
      <c r="C214" s="517" t="s">
        <v>1</v>
      </c>
      <c r="D214" s="529" t="s">
        <v>2</v>
      </c>
      <c r="E214" s="259" t="s">
        <v>980</v>
      </c>
      <c r="F214" s="259">
        <v>15</v>
      </c>
      <c r="G214" s="260"/>
      <c r="H214" s="260">
        <v>97</v>
      </c>
      <c r="I214" s="260"/>
      <c r="J214" s="532">
        <f t="shared" si="6"/>
        <v>1455</v>
      </c>
      <c r="K214" s="526"/>
      <c r="L214" s="527"/>
      <c r="M214" s="526"/>
      <c r="N214" s="526"/>
      <c r="O214" s="528"/>
      <c r="P214" s="526"/>
    </row>
    <row r="215" spans="2:16" s="343" customFormat="1" ht="77.25">
      <c r="B215" s="259">
        <v>25</v>
      </c>
      <c r="C215" s="517" t="s">
        <v>3</v>
      </c>
      <c r="D215" s="529" t="s">
        <v>4</v>
      </c>
      <c r="E215" s="259" t="s">
        <v>980</v>
      </c>
      <c r="F215" s="259">
        <v>15</v>
      </c>
      <c r="G215" s="260"/>
      <c r="H215" s="260">
        <v>97</v>
      </c>
      <c r="I215" s="260"/>
      <c r="J215" s="532">
        <f t="shared" si="6"/>
        <v>1455</v>
      </c>
      <c r="K215" s="526"/>
      <c r="L215" s="527"/>
      <c r="M215" s="526"/>
      <c r="N215" s="526"/>
      <c r="O215" s="528"/>
      <c r="P215" s="526"/>
    </row>
    <row r="216" spans="2:16" s="343" customFormat="1" ht="77.25">
      <c r="B216" s="259">
        <v>26</v>
      </c>
      <c r="C216" s="517" t="s">
        <v>5</v>
      </c>
      <c r="D216" s="529" t="s">
        <v>6</v>
      </c>
      <c r="E216" s="259" t="s">
        <v>980</v>
      </c>
      <c r="F216" s="259">
        <v>1</v>
      </c>
      <c r="G216" s="260"/>
      <c r="H216" s="260">
        <v>848</v>
      </c>
      <c r="I216" s="260"/>
      <c r="J216" s="532">
        <f t="shared" si="6"/>
        <v>848</v>
      </c>
      <c r="K216" s="526"/>
      <c r="L216" s="527"/>
      <c r="M216" s="526"/>
      <c r="N216" s="526"/>
      <c r="O216" s="528"/>
      <c r="P216" s="526"/>
    </row>
    <row r="217" spans="2:16" s="343" customFormat="1" ht="26.25">
      <c r="B217" s="259">
        <v>27</v>
      </c>
      <c r="C217" s="517" t="s">
        <v>7</v>
      </c>
      <c r="D217" s="529" t="s">
        <v>8</v>
      </c>
      <c r="E217" s="259" t="s">
        <v>980</v>
      </c>
      <c r="F217" s="259">
        <v>8</v>
      </c>
      <c r="G217" s="260"/>
      <c r="H217" s="260">
        <v>313</v>
      </c>
      <c r="I217" s="260"/>
      <c r="J217" s="532">
        <f t="shared" si="6"/>
        <v>2504</v>
      </c>
      <c r="K217" s="526"/>
      <c r="L217" s="527"/>
      <c r="M217" s="526"/>
      <c r="N217" s="526"/>
      <c r="O217" s="528"/>
      <c r="P217" s="526"/>
    </row>
    <row r="218" spans="2:16" s="343" customFormat="1">
      <c r="B218" s="259">
        <v>28</v>
      </c>
      <c r="C218" s="517" t="s">
        <v>9</v>
      </c>
      <c r="D218" s="529" t="s">
        <v>10</v>
      </c>
      <c r="E218" s="259" t="s">
        <v>995</v>
      </c>
      <c r="F218" s="259">
        <v>3</v>
      </c>
      <c r="G218" s="260"/>
      <c r="H218" s="260">
        <v>361</v>
      </c>
      <c r="I218" s="260"/>
      <c r="J218" s="532">
        <f t="shared" si="6"/>
        <v>1083</v>
      </c>
      <c r="K218" s="526"/>
      <c r="L218" s="527"/>
      <c r="M218" s="526"/>
      <c r="N218" s="526"/>
      <c r="O218" s="528"/>
      <c r="P218" s="526"/>
    </row>
    <row r="219" spans="2:16" s="343" customFormat="1" ht="26.25">
      <c r="B219" s="259">
        <v>29</v>
      </c>
      <c r="C219" s="517" t="s">
        <v>11</v>
      </c>
      <c r="D219" s="529" t="s">
        <v>12</v>
      </c>
      <c r="E219" s="259" t="s">
        <v>995</v>
      </c>
      <c r="F219" s="259">
        <v>3</v>
      </c>
      <c r="G219" s="260"/>
      <c r="H219" s="260">
        <v>361</v>
      </c>
      <c r="I219" s="260"/>
      <c r="J219" s="532">
        <f t="shared" si="6"/>
        <v>1083</v>
      </c>
      <c r="K219" s="526"/>
      <c r="L219" s="527"/>
      <c r="M219" s="526"/>
      <c r="N219" s="526"/>
      <c r="O219" s="528"/>
      <c r="P219" s="526"/>
    </row>
    <row r="220" spans="2:16" s="343" customFormat="1" ht="90">
      <c r="B220" s="259">
        <v>30</v>
      </c>
      <c r="C220" s="517" t="s">
        <v>13</v>
      </c>
      <c r="D220" s="534" t="s">
        <v>14</v>
      </c>
      <c r="E220" s="259" t="s">
        <v>539</v>
      </c>
      <c r="F220" s="259">
        <v>5</v>
      </c>
      <c r="G220" s="260"/>
      <c r="H220" s="260">
        <v>752</v>
      </c>
      <c r="I220" s="260"/>
      <c r="J220" s="532">
        <f t="shared" si="6"/>
        <v>3760</v>
      </c>
      <c r="K220" s="526"/>
      <c r="L220" s="527"/>
      <c r="M220" s="526"/>
      <c r="N220" s="526"/>
      <c r="O220" s="528"/>
      <c r="P220" s="526"/>
    </row>
    <row r="221" spans="2:16" s="343" customFormat="1" ht="26.25">
      <c r="B221" s="259">
        <v>31</v>
      </c>
      <c r="C221" s="517" t="s">
        <v>15</v>
      </c>
      <c r="D221" s="529" t="s">
        <v>16</v>
      </c>
      <c r="E221" s="259" t="s">
        <v>980</v>
      </c>
      <c r="F221" s="259">
        <v>1</v>
      </c>
      <c r="G221" s="260"/>
      <c r="H221" s="260">
        <v>2372</v>
      </c>
      <c r="I221" s="260"/>
      <c r="J221" s="532">
        <f t="shared" si="6"/>
        <v>2372</v>
      </c>
      <c r="K221" s="526"/>
      <c r="L221" s="527"/>
      <c r="M221" s="526"/>
      <c r="N221" s="526"/>
      <c r="O221" s="528"/>
      <c r="P221" s="526"/>
    </row>
    <row r="222" spans="2:16" s="343" customFormat="1" ht="26.25">
      <c r="B222" s="259">
        <v>32</v>
      </c>
      <c r="C222" s="517" t="s">
        <v>549</v>
      </c>
      <c r="D222" s="529" t="s">
        <v>16</v>
      </c>
      <c r="E222" s="259" t="s">
        <v>980</v>
      </c>
      <c r="F222" s="259">
        <v>5</v>
      </c>
      <c r="G222" s="260"/>
      <c r="H222" s="260">
        <v>126</v>
      </c>
      <c r="I222" s="260"/>
      <c r="J222" s="532">
        <f t="shared" si="6"/>
        <v>630</v>
      </c>
      <c r="K222" s="526"/>
      <c r="L222" s="527"/>
      <c r="M222" s="526"/>
      <c r="N222" s="526"/>
      <c r="O222" s="528"/>
      <c r="P222" s="526"/>
    </row>
    <row r="223" spans="2:16" s="343" customFormat="1" ht="26.25">
      <c r="B223" s="259">
        <v>33</v>
      </c>
      <c r="C223" s="517" t="s">
        <v>550</v>
      </c>
      <c r="D223" s="529" t="s">
        <v>16</v>
      </c>
      <c r="E223" s="259" t="s">
        <v>551</v>
      </c>
      <c r="F223" s="259">
        <v>1</v>
      </c>
      <c r="G223" s="260"/>
      <c r="H223" s="260">
        <v>1897</v>
      </c>
      <c r="I223" s="260"/>
      <c r="J223" s="293">
        <f t="shared" si="6"/>
        <v>1897</v>
      </c>
      <c r="K223" s="526"/>
      <c r="L223" s="527"/>
      <c r="M223" s="526"/>
      <c r="N223" s="526"/>
      <c r="O223" s="528"/>
      <c r="P223" s="526"/>
    </row>
    <row r="224" spans="2:16" s="343" customFormat="1" ht="26.25">
      <c r="B224" s="259">
        <v>34</v>
      </c>
      <c r="C224" s="517" t="s">
        <v>552</v>
      </c>
      <c r="D224" s="529" t="s">
        <v>17</v>
      </c>
      <c r="E224" s="259" t="s">
        <v>537</v>
      </c>
      <c r="F224" s="259">
        <v>4</v>
      </c>
      <c r="G224" s="260"/>
      <c r="H224" s="260">
        <v>1807</v>
      </c>
      <c r="I224" s="260"/>
      <c r="J224" s="293">
        <f t="shared" si="6"/>
        <v>7228</v>
      </c>
      <c r="K224" s="526"/>
      <c r="L224" s="527"/>
      <c r="M224" s="526"/>
      <c r="N224" s="526"/>
      <c r="O224" s="528"/>
      <c r="P224" s="526"/>
    </row>
    <row r="225" spans="2:16" s="343" customFormat="1">
      <c r="B225" s="259">
        <v>35</v>
      </c>
      <c r="C225" s="517" t="s">
        <v>18</v>
      </c>
      <c r="D225" s="529" t="s">
        <v>19</v>
      </c>
      <c r="E225" s="259" t="s">
        <v>539</v>
      </c>
      <c r="F225" s="259">
        <v>1</v>
      </c>
      <c r="G225" s="260"/>
      <c r="H225" s="260">
        <v>2602</v>
      </c>
      <c r="I225" s="260"/>
      <c r="J225" s="293">
        <f t="shared" si="6"/>
        <v>2602</v>
      </c>
      <c r="K225" s="526"/>
      <c r="L225" s="527"/>
      <c r="M225" s="526"/>
      <c r="N225" s="526"/>
      <c r="O225" s="528"/>
      <c r="P225" s="526"/>
    </row>
    <row r="226" spans="2:16" s="343" customFormat="1">
      <c r="B226" s="259">
        <v>36</v>
      </c>
      <c r="C226" s="517" t="s">
        <v>553</v>
      </c>
      <c r="D226" s="529" t="s">
        <v>20</v>
      </c>
      <c r="E226" s="259" t="s">
        <v>1965</v>
      </c>
      <c r="F226" s="259">
        <v>100</v>
      </c>
      <c r="G226" s="260"/>
      <c r="H226" s="260">
        <v>64</v>
      </c>
      <c r="I226" s="260"/>
      <c r="J226" s="293">
        <f t="shared" si="6"/>
        <v>6400</v>
      </c>
      <c r="K226" s="526"/>
      <c r="L226" s="527"/>
      <c r="M226" s="526"/>
      <c r="N226" s="526"/>
      <c r="O226" s="528"/>
      <c r="P226" s="526"/>
    </row>
    <row r="227" spans="2:16" s="343" customFormat="1">
      <c r="B227" s="259">
        <v>37</v>
      </c>
      <c r="C227" s="517" t="s">
        <v>21</v>
      </c>
      <c r="D227" s="529" t="s">
        <v>22</v>
      </c>
      <c r="E227" s="259" t="s">
        <v>1003</v>
      </c>
      <c r="F227" s="259">
        <v>0.1</v>
      </c>
      <c r="G227" s="260"/>
      <c r="H227" s="260">
        <v>5838</v>
      </c>
      <c r="I227" s="260"/>
      <c r="J227" s="293">
        <f t="shared" si="6"/>
        <v>583.80000000000007</v>
      </c>
      <c r="K227" s="526"/>
      <c r="L227" s="527"/>
      <c r="M227" s="526"/>
      <c r="N227" s="526"/>
      <c r="O227" s="528"/>
      <c r="P227" s="526"/>
    </row>
    <row r="228" spans="2:16" s="343" customFormat="1">
      <c r="B228" s="259">
        <v>38</v>
      </c>
      <c r="C228" s="517" t="s">
        <v>23</v>
      </c>
      <c r="D228" s="529" t="s">
        <v>24</v>
      </c>
      <c r="E228" s="259" t="s">
        <v>25</v>
      </c>
      <c r="F228" s="259">
        <v>1</v>
      </c>
      <c r="G228" s="260"/>
      <c r="H228" s="260">
        <v>334</v>
      </c>
      <c r="I228" s="260"/>
      <c r="J228" s="293">
        <f t="shared" si="6"/>
        <v>334</v>
      </c>
      <c r="K228" s="526"/>
      <c r="L228" s="527"/>
      <c r="M228" s="526"/>
      <c r="N228" s="526"/>
      <c r="O228" s="528"/>
      <c r="P228" s="526"/>
    </row>
    <row r="229" spans="2:16" s="343" customFormat="1">
      <c r="B229" s="259">
        <v>39</v>
      </c>
      <c r="C229" s="517" t="s">
        <v>554</v>
      </c>
      <c r="D229" s="529" t="s">
        <v>26</v>
      </c>
      <c r="E229" s="259" t="s">
        <v>1965</v>
      </c>
      <c r="F229" s="259">
        <v>1</v>
      </c>
      <c r="G229" s="260"/>
      <c r="H229" s="260">
        <v>327</v>
      </c>
      <c r="I229" s="260"/>
      <c r="J229" s="293">
        <f t="shared" si="6"/>
        <v>327</v>
      </c>
      <c r="K229" s="526"/>
      <c r="L229" s="527"/>
      <c r="M229" s="526"/>
      <c r="N229" s="526"/>
      <c r="O229" s="528"/>
      <c r="P229" s="526"/>
    </row>
    <row r="230" spans="2:16" s="343" customFormat="1" ht="26.25">
      <c r="B230" s="259">
        <v>40</v>
      </c>
      <c r="C230" s="517" t="s">
        <v>555</v>
      </c>
      <c r="D230" s="529" t="s">
        <v>27</v>
      </c>
      <c r="E230" s="259" t="s">
        <v>1965</v>
      </c>
      <c r="F230" s="259">
        <v>1</v>
      </c>
      <c r="G230" s="260"/>
      <c r="H230" s="260">
        <v>544</v>
      </c>
      <c r="I230" s="260"/>
      <c r="J230" s="293">
        <f t="shared" si="6"/>
        <v>544</v>
      </c>
      <c r="K230" s="526"/>
      <c r="L230" s="527"/>
      <c r="M230" s="526"/>
      <c r="N230" s="526"/>
      <c r="O230" s="528"/>
      <c r="P230" s="526"/>
    </row>
    <row r="231" spans="2:16" s="343" customFormat="1">
      <c r="B231" s="259">
        <v>41</v>
      </c>
      <c r="C231" s="517" t="s">
        <v>556</v>
      </c>
      <c r="D231" s="529" t="s">
        <v>28</v>
      </c>
      <c r="E231" s="259" t="s">
        <v>1965</v>
      </c>
      <c r="F231" s="259">
        <v>1</v>
      </c>
      <c r="G231" s="260"/>
      <c r="H231" s="260">
        <v>223</v>
      </c>
      <c r="I231" s="260"/>
      <c r="J231" s="293">
        <f t="shared" si="6"/>
        <v>223</v>
      </c>
      <c r="K231" s="526"/>
      <c r="L231" s="527"/>
      <c r="M231" s="526"/>
      <c r="N231" s="526"/>
      <c r="O231" s="528"/>
      <c r="P231" s="526"/>
    </row>
    <row r="232" spans="2:16" s="343" customFormat="1">
      <c r="B232" s="259">
        <v>42</v>
      </c>
      <c r="C232" s="517" t="s">
        <v>557</v>
      </c>
      <c r="D232" s="529" t="s">
        <v>29</v>
      </c>
      <c r="E232" s="259" t="s">
        <v>1965</v>
      </c>
      <c r="F232" s="259">
        <v>10</v>
      </c>
      <c r="G232" s="260"/>
      <c r="H232" s="260">
        <v>49</v>
      </c>
      <c r="I232" s="260"/>
      <c r="J232" s="293">
        <f t="shared" si="6"/>
        <v>490</v>
      </c>
      <c r="K232" s="526"/>
      <c r="L232" s="527"/>
      <c r="M232" s="526"/>
      <c r="N232" s="526"/>
      <c r="O232" s="528"/>
      <c r="P232" s="526"/>
    </row>
    <row r="233" spans="2:16" s="343" customFormat="1" ht="26.25">
      <c r="B233" s="259">
        <v>43</v>
      </c>
      <c r="C233" s="517" t="s">
        <v>30</v>
      </c>
      <c r="D233" s="529" t="s">
        <v>31</v>
      </c>
      <c r="E233" s="259" t="s">
        <v>1965</v>
      </c>
      <c r="F233" s="259">
        <v>2</v>
      </c>
      <c r="G233" s="260"/>
      <c r="H233" s="260">
        <v>383</v>
      </c>
      <c r="I233" s="260"/>
      <c r="J233" s="293">
        <f t="shared" si="6"/>
        <v>766</v>
      </c>
      <c r="K233" s="526"/>
      <c r="L233" s="527"/>
      <c r="M233" s="526"/>
      <c r="N233" s="526"/>
      <c r="O233" s="528"/>
      <c r="P233" s="526"/>
    </row>
    <row r="234" spans="2:16" s="343" customFormat="1">
      <c r="B234" s="259">
        <v>44</v>
      </c>
      <c r="C234" s="517" t="s">
        <v>32</v>
      </c>
      <c r="D234" s="529" t="s">
        <v>33</v>
      </c>
      <c r="E234" s="259" t="s">
        <v>1965</v>
      </c>
      <c r="F234" s="259">
        <v>1</v>
      </c>
      <c r="G234" s="260"/>
      <c r="H234" s="260">
        <v>6570</v>
      </c>
      <c r="I234" s="260"/>
      <c r="J234" s="293">
        <f t="shared" si="6"/>
        <v>6570</v>
      </c>
      <c r="K234" s="526"/>
      <c r="L234" s="527"/>
      <c r="M234" s="526"/>
      <c r="N234" s="526"/>
      <c r="O234" s="528"/>
      <c r="P234" s="526"/>
    </row>
    <row r="235" spans="2:16" s="343" customFormat="1">
      <c r="B235" s="259">
        <v>45</v>
      </c>
      <c r="C235" s="517" t="s">
        <v>34</v>
      </c>
      <c r="D235" s="529" t="s">
        <v>35</v>
      </c>
      <c r="E235" s="259" t="s">
        <v>1965</v>
      </c>
      <c r="F235" s="259">
        <v>1</v>
      </c>
      <c r="G235" s="260"/>
      <c r="H235" s="260">
        <v>7150</v>
      </c>
      <c r="I235" s="260"/>
      <c r="J235" s="293">
        <f t="shared" si="6"/>
        <v>7150</v>
      </c>
      <c r="K235" s="526"/>
      <c r="L235" s="527"/>
      <c r="M235" s="526"/>
      <c r="N235" s="526"/>
      <c r="O235" s="528"/>
      <c r="P235" s="526"/>
    </row>
    <row r="236" spans="2:16" s="343" customFormat="1">
      <c r="B236" s="259">
        <v>46</v>
      </c>
      <c r="C236" s="517" t="s">
        <v>36</v>
      </c>
      <c r="D236" s="529" t="s">
        <v>37</v>
      </c>
      <c r="E236" s="259" t="s">
        <v>1965</v>
      </c>
      <c r="F236" s="259">
        <v>1</v>
      </c>
      <c r="G236" s="260"/>
      <c r="H236" s="260">
        <v>3672</v>
      </c>
      <c r="I236" s="260"/>
      <c r="J236" s="293">
        <f t="shared" si="6"/>
        <v>3672</v>
      </c>
      <c r="K236" s="526"/>
      <c r="L236" s="527"/>
      <c r="M236" s="526"/>
      <c r="N236" s="526"/>
      <c r="O236" s="528"/>
      <c r="P236" s="526"/>
    </row>
    <row r="237" spans="2:16" s="343" customFormat="1">
      <c r="B237" s="259">
        <v>47</v>
      </c>
      <c r="C237" s="517" t="s">
        <v>38</v>
      </c>
      <c r="D237" s="529" t="s">
        <v>39</v>
      </c>
      <c r="E237" s="259" t="s">
        <v>1965</v>
      </c>
      <c r="F237" s="259">
        <v>1</v>
      </c>
      <c r="G237" s="260"/>
      <c r="H237" s="260">
        <v>3865</v>
      </c>
      <c r="I237" s="260"/>
      <c r="J237" s="293">
        <f t="shared" si="6"/>
        <v>3865</v>
      </c>
      <c r="K237" s="526"/>
      <c r="L237" s="527"/>
      <c r="M237" s="526"/>
      <c r="N237" s="526"/>
      <c r="O237" s="528"/>
      <c r="P237" s="526"/>
    </row>
    <row r="238" spans="2:16" s="343" customFormat="1">
      <c r="B238" s="259">
        <v>48</v>
      </c>
      <c r="C238" s="517" t="s">
        <v>40</v>
      </c>
      <c r="D238" s="529" t="s">
        <v>41</v>
      </c>
      <c r="E238" s="259" t="s">
        <v>1965</v>
      </c>
      <c r="F238" s="259">
        <v>1</v>
      </c>
      <c r="G238" s="260"/>
      <c r="H238" s="260">
        <v>3853</v>
      </c>
      <c r="I238" s="260"/>
      <c r="J238" s="293">
        <f t="shared" si="6"/>
        <v>3853</v>
      </c>
      <c r="K238" s="526"/>
      <c r="L238" s="527"/>
      <c r="M238" s="526"/>
      <c r="N238" s="526"/>
      <c r="O238" s="528"/>
      <c r="P238" s="526"/>
    </row>
    <row r="239" spans="2:16" s="343" customFormat="1">
      <c r="B239" s="530">
        <v>49</v>
      </c>
      <c r="C239" s="517" t="s">
        <v>42</v>
      </c>
      <c r="D239" s="531" t="s">
        <v>41</v>
      </c>
      <c r="E239" s="530" t="s">
        <v>1965</v>
      </c>
      <c r="F239" s="530">
        <v>1</v>
      </c>
      <c r="G239" s="260"/>
      <c r="H239" s="260">
        <v>3853</v>
      </c>
      <c r="I239" s="260"/>
      <c r="J239" s="293">
        <f t="shared" si="6"/>
        <v>3853</v>
      </c>
      <c r="K239" s="526"/>
      <c r="L239" s="527"/>
      <c r="M239" s="526"/>
      <c r="N239" s="526"/>
      <c r="O239" s="528"/>
      <c r="P239" s="526"/>
    </row>
    <row r="240" spans="2:16" s="343" customFormat="1" ht="26.25">
      <c r="B240" s="259">
        <v>50</v>
      </c>
      <c r="C240" s="517" t="s">
        <v>43</v>
      </c>
      <c r="D240" s="529" t="s">
        <v>44</v>
      </c>
      <c r="E240" s="259" t="s">
        <v>1965</v>
      </c>
      <c r="F240" s="259">
        <v>1</v>
      </c>
      <c r="G240" s="260"/>
      <c r="H240" s="260">
        <v>467</v>
      </c>
      <c r="I240" s="260"/>
      <c r="J240" s="293">
        <f t="shared" si="6"/>
        <v>467</v>
      </c>
      <c r="K240" s="526"/>
      <c r="L240" s="527"/>
      <c r="M240" s="526"/>
      <c r="N240" s="526"/>
      <c r="O240" s="528"/>
      <c r="P240" s="526"/>
    </row>
    <row r="241" spans="2:16" s="343" customFormat="1">
      <c r="B241" s="259">
        <v>51</v>
      </c>
      <c r="C241" s="517" t="s">
        <v>45</v>
      </c>
      <c r="D241" s="529" t="s">
        <v>46</v>
      </c>
      <c r="E241" s="259" t="s">
        <v>1965</v>
      </c>
      <c r="F241" s="259">
        <v>1</v>
      </c>
      <c r="G241" s="260"/>
      <c r="H241" s="260">
        <v>10822</v>
      </c>
      <c r="I241" s="260"/>
      <c r="J241" s="293">
        <f t="shared" si="6"/>
        <v>10822</v>
      </c>
      <c r="K241" s="526"/>
      <c r="L241" s="527"/>
      <c r="M241" s="526"/>
      <c r="N241" s="526"/>
      <c r="O241" s="528"/>
      <c r="P241" s="526"/>
    </row>
    <row r="242" spans="2:16" s="343" customFormat="1">
      <c r="B242" s="280"/>
      <c r="C242" s="519"/>
      <c r="D242" s="284"/>
      <c r="E242" s="280"/>
      <c r="F242" s="280"/>
      <c r="G242" s="280"/>
      <c r="H242" s="280"/>
      <c r="I242" s="285"/>
      <c r="J242" s="293">
        <f>SUM(J191:J241)</f>
        <v>141188.79999999999</v>
      </c>
      <c r="K242" s="526"/>
      <c r="L242" s="527"/>
      <c r="M242" s="526"/>
      <c r="N242" s="526"/>
      <c r="O242" s="528"/>
      <c r="P242" s="526"/>
    </row>
    <row r="243" spans="2:16" s="343" customFormat="1">
      <c r="B243" s="495"/>
      <c r="C243" s="521"/>
      <c r="D243" s="535"/>
      <c r="E243" s="495"/>
      <c r="F243" s="495"/>
      <c r="G243" s="495"/>
      <c r="H243" s="495"/>
      <c r="I243" s="501"/>
      <c r="J243" s="502"/>
      <c r="K243" s="526"/>
      <c r="L243" s="527"/>
      <c r="M243" s="526"/>
      <c r="N243" s="526"/>
      <c r="O243" s="528"/>
      <c r="P243" s="526"/>
    </row>
    <row r="244" spans="2:16" s="343" customFormat="1">
      <c r="B244" s="495"/>
      <c r="C244" s="353" t="s">
        <v>1047</v>
      </c>
      <c r="D244" s="536"/>
      <c r="E244" s="495" t="s">
        <v>585</v>
      </c>
      <c r="F244" s="495"/>
      <c r="G244" s="495"/>
      <c r="H244" s="495"/>
      <c r="I244" s="501"/>
      <c r="J244" s="502"/>
      <c r="K244" s="526"/>
      <c r="L244" s="527"/>
      <c r="M244" s="526"/>
      <c r="N244" s="526"/>
      <c r="O244" s="528"/>
      <c r="P244" s="526"/>
    </row>
    <row r="245" spans="2:16" s="343" customFormat="1">
      <c r="B245" s="495"/>
      <c r="C245" s="521"/>
      <c r="D245" s="535"/>
      <c r="E245" s="495"/>
      <c r="F245" s="495"/>
      <c r="G245" s="495"/>
      <c r="H245" s="495"/>
      <c r="I245" s="501"/>
      <c r="J245" s="502"/>
      <c r="K245" s="526"/>
      <c r="L245" s="527"/>
      <c r="M245" s="526"/>
      <c r="N245" s="526"/>
      <c r="O245" s="528"/>
      <c r="P245" s="526"/>
    </row>
    <row r="246" spans="2:16" s="343" customFormat="1">
      <c r="B246" s="495"/>
      <c r="C246" s="538" t="s">
        <v>558</v>
      </c>
      <c r="D246" s="486" t="s">
        <v>558</v>
      </c>
      <c r="E246" s="544"/>
      <c r="F246" s="495"/>
      <c r="G246" s="495"/>
      <c r="H246" s="495"/>
      <c r="I246" s="501"/>
      <c r="J246" s="502"/>
      <c r="K246" s="526"/>
      <c r="L246" s="527"/>
      <c r="M246" s="526"/>
      <c r="N246" s="526"/>
      <c r="O246" s="528"/>
      <c r="P246" s="526"/>
    </row>
    <row r="247" spans="2:16" s="343" customFormat="1">
      <c r="B247" s="495"/>
      <c r="C247" s="524" t="s">
        <v>559</v>
      </c>
      <c r="D247" s="535"/>
      <c r="E247" s="495"/>
      <c r="F247" s="495"/>
      <c r="G247" s="495"/>
      <c r="H247" s="495"/>
      <c r="I247" s="501"/>
      <c r="J247" s="502"/>
      <c r="K247" s="526"/>
      <c r="L247" s="527"/>
      <c r="M247" s="526"/>
      <c r="N247" s="526"/>
      <c r="O247" s="528"/>
      <c r="P247" s="526"/>
    </row>
    <row r="248" spans="2:16" s="343" customFormat="1">
      <c r="B248" s="495"/>
      <c r="C248" s="521"/>
      <c r="D248" s="535"/>
      <c r="E248" s="495"/>
      <c r="F248" s="495"/>
      <c r="G248" s="495"/>
      <c r="H248" s="495"/>
      <c r="I248" s="501"/>
      <c r="J248" s="502"/>
      <c r="K248" s="526"/>
      <c r="L248" s="527"/>
      <c r="M248" s="526"/>
      <c r="N248" s="526"/>
      <c r="O248" s="528"/>
      <c r="P248" s="526"/>
    </row>
    <row r="249" spans="2:16" s="343" customFormat="1" ht="31.5">
      <c r="B249" s="513" t="s">
        <v>1884</v>
      </c>
      <c r="C249" s="116" t="s">
        <v>1961</v>
      </c>
      <c r="D249" s="514"/>
      <c r="E249" s="680" t="s">
        <v>1887</v>
      </c>
      <c r="F249" s="490" t="s">
        <v>1962</v>
      </c>
      <c r="G249" s="490" t="s">
        <v>1963</v>
      </c>
      <c r="H249" s="490" t="s">
        <v>122</v>
      </c>
      <c r="I249" s="491" t="s">
        <v>1964</v>
      </c>
      <c r="J249" s="492" t="s">
        <v>584</v>
      </c>
      <c r="K249" s="526"/>
      <c r="L249" s="527"/>
      <c r="M249" s="526"/>
      <c r="N249" s="526"/>
      <c r="O249" s="528"/>
      <c r="P249" s="526"/>
    </row>
    <row r="250" spans="2:16" s="343" customFormat="1">
      <c r="B250" s="539">
        <v>1</v>
      </c>
      <c r="C250" s="517" t="s">
        <v>731</v>
      </c>
      <c r="D250" s="284"/>
      <c r="E250" s="259" t="s">
        <v>537</v>
      </c>
      <c r="F250" s="259">
        <v>700</v>
      </c>
      <c r="G250" s="280"/>
      <c r="H250" s="280">
        <v>21</v>
      </c>
      <c r="I250" s="282"/>
      <c r="J250" s="293">
        <f>F250*H250</f>
        <v>14700</v>
      </c>
      <c r="K250" s="526"/>
      <c r="L250" s="527"/>
      <c r="M250" s="526"/>
      <c r="N250" s="526"/>
      <c r="O250" s="528"/>
      <c r="P250" s="526"/>
    </row>
    <row r="251" spans="2:16" s="343" customFormat="1">
      <c r="B251" s="539">
        <v>2</v>
      </c>
      <c r="C251" s="517" t="s">
        <v>561</v>
      </c>
      <c r="D251" s="284"/>
      <c r="E251" s="259" t="s">
        <v>537</v>
      </c>
      <c r="F251" s="259">
        <v>1400</v>
      </c>
      <c r="G251" s="280"/>
      <c r="H251" s="280">
        <v>23</v>
      </c>
      <c r="I251" s="282"/>
      <c r="J251" s="293">
        <f>F251*H251</f>
        <v>32200</v>
      </c>
      <c r="K251" s="526"/>
      <c r="L251" s="527"/>
      <c r="M251" s="526"/>
      <c r="N251" s="526"/>
      <c r="O251" s="528"/>
      <c r="P251" s="526"/>
    </row>
    <row r="252" spans="2:16" s="343" customFormat="1">
      <c r="B252" s="280"/>
      <c r="C252" s="519"/>
      <c r="D252" s="284"/>
      <c r="E252" s="280"/>
      <c r="F252" s="280"/>
      <c r="G252" s="280"/>
      <c r="H252" s="280"/>
      <c r="I252" s="285"/>
      <c r="J252" s="293">
        <f>SUM(J250:J251)</f>
        <v>46900</v>
      </c>
      <c r="K252" s="526"/>
      <c r="L252" s="527"/>
      <c r="M252" s="526"/>
      <c r="N252" s="526"/>
      <c r="O252" s="528"/>
      <c r="P252" s="526"/>
    </row>
    <row r="253" spans="2:16" s="343" customFormat="1">
      <c r="B253" s="495"/>
      <c r="C253" s="521"/>
      <c r="D253" s="535"/>
      <c r="E253" s="495"/>
      <c r="F253" s="495"/>
      <c r="G253" s="495"/>
      <c r="H253" s="495"/>
      <c r="I253" s="501"/>
      <c r="J253" s="502"/>
      <c r="K253" s="526"/>
      <c r="L253" s="527"/>
      <c r="M253" s="526"/>
      <c r="N253" s="526"/>
      <c r="O253" s="528"/>
      <c r="P253" s="526"/>
    </row>
    <row r="254" spans="2:16" s="343" customFormat="1">
      <c r="B254" s="495"/>
      <c r="C254" s="540" t="s">
        <v>1842</v>
      </c>
      <c r="D254" s="536"/>
      <c r="E254" s="992" t="s">
        <v>1829</v>
      </c>
      <c r="F254" s="992"/>
      <c r="G254" s="993"/>
      <c r="H254" s="993"/>
      <c r="I254" s="501"/>
      <c r="J254" s="502"/>
      <c r="K254" s="526"/>
      <c r="L254" s="527"/>
      <c r="M254" s="526"/>
      <c r="N254" s="526"/>
      <c r="O254" s="528"/>
      <c r="P254" s="526"/>
    </row>
    <row r="255" spans="2:16" s="343" customFormat="1">
      <c r="B255" s="495"/>
      <c r="C255" s="521"/>
      <c r="D255" s="535"/>
      <c r="E255" s="495"/>
      <c r="F255" s="495"/>
      <c r="G255" s="495"/>
      <c r="H255" s="495"/>
      <c r="I255" s="501"/>
      <c r="J255" s="502"/>
      <c r="K255" s="526"/>
      <c r="L255" s="527"/>
      <c r="M255" s="526"/>
      <c r="N255" s="526"/>
      <c r="O255" s="528"/>
      <c r="P255" s="526"/>
    </row>
    <row r="256" spans="2:16" s="343" customFormat="1" ht="31.5">
      <c r="B256" s="495"/>
      <c r="C256" s="485" t="s">
        <v>377</v>
      </c>
      <c r="D256" s="486" t="s">
        <v>47</v>
      </c>
      <c r="E256" s="495"/>
      <c r="F256" s="495"/>
      <c r="G256" s="495"/>
      <c r="H256" s="495"/>
      <c r="I256" s="501"/>
      <c r="J256" s="502"/>
      <c r="K256" s="526"/>
      <c r="L256" s="527"/>
      <c r="M256" s="526"/>
      <c r="N256" s="526"/>
      <c r="O256" s="528"/>
      <c r="P256" s="526"/>
    </row>
    <row r="257" spans="2:16" s="343" customFormat="1">
      <c r="B257" s="495"/>
      <c r="C257" s="524"/>
      <c r="D257" s="535"/>
      <c r="E257" s="495"/>
      <c r="F257" s="495"/>
      <c r="G257" s="495"/>
      <c r="H257" s="495"/>
      <c r="I257" s="501"/>
      <c r="J257" s="502"/>
      <c r="K257" s="526"/>
      <c r="L257" s="527"/>
      <c r="M257" s="526"/>
      <c r="N257" s="526"/>
      <c r="O257" s="528"/>
      <c r="P257" s="526"/>
    </row>
    <row r="258" spans="2:16" s="343" customFormat="1">
      <c r="B258" s="495"/>
      <c r="C258" s="521"/>
      <c r="D258" s="535"/>
      <c r="E258" s="495"/>
      <c r="F258" s="495"/>
      <c r="G258" s="495"/>
      <c r="H258" s="495"/>
      <c r="I258" s="501"/>
      <c r="J258" s="502"/>
      <c r="K258" s="526"/>
      <c r="L258" s="527"/>
      <c r="M258" s="526"/>
      <c r="N258" s="526"/>
      <c r="O258" s="528"/>
      <c r="P258" s="526"/>
    </row>
    <row r="259" spans="2:16" s="343" customFormat="1" ht="31.5">
      <c r="B259" s="513" t="s">
        <v>1884</v>
      </c>
      <c r="C259" s="116" t="s">
        <v>1961</v>
      </c>
      <c r="D259" s="514"/>
      <c r="E259" s="680" t="s">
        <v>1887</v>
      </c>
      <c r="F259" s="490" t="s">
        <v>1962</v>
      </c>
      <c r="G259" s="490" t="s">
        <v>708</v>
      </c>
      <c r="H259" s="490" t="s">
        <v>122</v>
      </c>
      <c r="I259" s="491" t="s">
        <v>1964</v>
      </c>
      <c r="J259" s="492" t="s">
        <v>584</v>
      </c>
      <c r="K259" s="526"/>
      <c r="L259" s="527"/>
      <c r="M259" s="526"/>
      <c r="N259" s="526"/>
      <c r="O259" s="528"/>
      <c r="P259" s="526"/>
    </row>
    <row r="260" spans="2:16" s="343" customFormat="1">
      <c r="B260" s="539">
        <v>1</v>
      </c>
      <c r="C260" s="286" t="s">
        <v>676</v>
      </c>
      <c r="D260" s="347" t="s">
        <v>672</v>
      </c>
      <c r="E260" s="539" t="s">
        <v>581</v>
      </c>
      <c r="F260" s="541">
        <v>240</v>
      </c>
      <c r="G260" s="381">
        <v>479.8</v>
      </c>
      <c r="H260" s="381">
        <v>380</v>
      </c>
      <c r="I260" s="260"/>
      <c r="J260" s="293">
        <f>F260*H260</f>
        <v>91200</v>
      </c>
      <c r="K260" s="526"/>
      <c r="L260" s="527"/>
      <c r="M260" s="526"/>
      <c r="N260" s="526"/>
      <c r="O260" s="528"/>
      <c r="P260" s="526"/>
    </row>
    <row r="261" spans="2:16" s="343" customFormat="1" ht="30.75" customHeight="1">
      <c r="B261" s="539">
        <v>2</v>
      </c>
      <c r="C261" s="286" t="s">
        <v>677</v>
      </c>
      <c r="D261" s="347" t="s">
        <v>673</v>
      </c>
      <c r="E261" s="539" t="s">
        <v>581</v>
      </c>
      <c r="F261" s="541">
        <v>60</v>
      </c>
      <c r="G261" s="381">
        <v>624.78</v>
      </c>
      <c r="H261" s="381">
        <v>580</v>
      </c>
      <c r="I261" s="260"/>
      <c r="J261" s="293">
        <f>F261*H261</f>
        <v>34800</v>
      </c>
      <c r="K261" s="526"/>
      <c r="L261" s="527"/>
      <c r="M261" s="526"/>
      <c r="N261" s="526"/>
      <c r="O261" s="528"/>
      <c r="P261" s="526"/>
    </row>
    <row r="262" spans="2:16" s="343" customFormat="1" ht="18" customHeight="1">
      <c r="B262" s="539">
        <v>3</v>
      </c>
      <c r="C262" s="286" t="s">
        <v>678</v>
      </c>
      <c r="D262" s="347" t="s">
        <v>674</v>
      </c>
      <c r="E262" s="539" t="s">
        <v>581</v>
      </c>
      <c r="F262" s="541">
        <v>40</v>
      </c>
      <c r="G262" s="381">
        <v>113.94</v>
      </c>
      <c r="H262" s="381">
        <v>120</v>
      </c>
      <c r="I262" s="260"/>
      <c r="J262" s="293">
        <f>F262*H262</f>
        <v>4800</v>
      </c>
      <c r="K262" s="526"/>
      <c r="L262" s="527"/>
      <c r="M262" s="526"/>
      <c r="N262" s="526"/>
      <c r="O262" s="528"/>
      <c r="P262" s="526"/>
    </row>
    <row r="263" spans="2:16" s="343" customFormat="1">
      <c r="B263" s="539">
        <v>4</v>
      </c>
      <c r="C263" s="286" t="s">
        <v>679</v>
      </c>
      <c r="D263" s="347" t="s">
        <v>675</v>
      </c>
      <c r="E263" s="539" t="s">
        <v>581</v>
      </c>
      <c r="F263" s="541"/>
      <c r="G263" s="381">
        <v>399.6</v>
      </c>
      <c r="H263" s="381">
        <v>399.6</v>
      </c>
      <c r="I263" s="260"/>
      <c r="J263" s="293">
        <f>F263*H263</f>
        <v>0</v>
      </c>
      <c r="K263" s="526"/>
      <c r="L263" s="527"/>
      <c r="M263" s="526"/>
      <c r="N263" s="526"/>
      <c r="O263" s="528"/>
      <c r="P263" s="526"/>
    </row>
    <row r="264" spans="2:16" s="343" customFormat="1">
      <c r="B264" s="280"/>
      <c r="C264" s="519"/>
      <c r="D264" s="284"/>
      <c r="E264" s="280"/>
      <c r="F264" s="280"/>
      <c r="G264" s="260"/>
      <c r="H264" s="260"/>
      <c r="I264" s="293"/>
      <c r="J264" s="293">
        <f>SUM(J260:J263)</f>
        <v>130800</v>
      </c>
      <c r="K264" s="526"/>
      <c r="L264" s="527"/>
      <c r="M264" s="526"/>
      <c r="N264" s="526"/>
      <c r="O264" s="528"/>
      <c r="P264" s="526"/>
    </row>
    <row r="265" spans="2:16" s="343" customFormat="1">
      <c r="B265" s="495"/>
      <c r="C265" s="521"/>
      <c r="D265" s="535"/>
      <c r="E265" s="495"/>
      <c r="F265" s="495"/>
      <c r="G265" s="495"/>
      <c r="H265" s="495"/>
      <c r="I265" s="501"/>
      <c r="J265" s="502"/>
      <c r="K265" s="526"/>
      <c r="L265" s="527"/>
      <c r="M265" s="526"/>
      <c r="N265" s="526"/>
      <c r="O265" s="528"/>
      <c r="P265" s="526"/>
    </row>
    <row r="266" spans="2:16" s="343" customFormat="1">
      <c r="B266" s="495"/>
      <c r="C266" s="540" t="s">
        <v>1842</v>
      </c>
      <c r="D266" s="536"/>
      <c r="E266" s="992" t="s">
        <v>1829</v>
      </c>
      <c r="F266" s="992"/>
      <c r="G266" s="993"/>
      <c r="H266" s="993"/>
      <c r="I266" s="501"/>
      <c r="J266" s="502"/>
      <c r="K266" s="526"/>
      <c r="L266" s="527"/>
      <c r="M266" s="526"/>
      <c r="N266" s="526"/>
      <c r="O266" s="528"/>
      <c r="P266" s="526"/>
    </row>
    <row r="267" spans="2:16" s="343" customFormat="1">
      <c r="B267" s="495"/>
      <c r="C267" s="521"/>
      <c r="D267" s="535"/>
      <c r="E267" s="495"/>
      <c r="F267" s="495"/>
      <c r="G267" s="495"/>
      <c r="H267" s="495"/>
      <c r="I267" s="501"/>
      <c r="J267" s="502"/>
      <c r="K267" s="526"/>
      <c r="L267" s="527"/>
      <c r="M267" s="526"/>
      <c r="N267" s="526"/>
      <c r="O267" s="528"/>
      <c r="P267" s="526"/>
    </row>
    <row r="268" spans="2:16" s="343" customFormat="1" ht="15.75" customHeight="1">
      <c r="B268" s="495"/>
      <c r="C268" s="521"/>
      <c r="D268" s="535"/>
      <c r="E268" s="495"/>
      <c r="F268" s="495"/>
      <c r="G268" s="495"/>
      <c r="H268" s="495"/>
      <c r="I268" s="501"/>
      <c r="J268" s="502"/>
      <c r="K268" s="526"/>
      <c r="L268" s="527"/>
      <c r="M268" s="526"/>
      <c r="N268" s="526"/>
      <c r="O268" s="528"/>
      <c r="P268" s="526"/>
    </row>
    <row r="269" spans="2:16" s="343" customFormat="1">
      <c r="B269" s="495"/>
      <c r="C269" s="485" t="s">
        <v>562</v>
      </c>
      <c r="D269" s="542" t="s">
        <v>48</v>
      </c>
      <c r="E269" s="495"/>
      <c r="F269" s="495"/>
      <c r="G269" s="495"/>
      <c r="H269" s="495"/>
      <c r="I269" s="501"/>
      <c r="J269" s="502"/>
      <c r="K269" s="526"/>
      <c r="L269" s="527"/>
      <c r="M269" s="526"/>
      <c r="N269" s="526"/>
      <c r="O269" s="528"/>
      <c r="P269" s="526"/>
    </row>
    <row r="270" spans="2:16" s="343" customFormat="1">
      <c r="B270" s="495"/>
      <c r="C270" s="485"/>
      <c r="D270" s="535"/>
      <c r="E270" s="495"/>
      <c r="F270" s="495"/>
      <c r="G270" s="495"/>
      <c r="H270" s="495"/>
      <c r="I270" s="501"/>
      <c r="J270" s="502"/>
      <c r="K270" s="526"/>
      <c r="L270" s="527"/>
      <c r="M270" s="526"/>
      <c r="N270" s="526"/>
      <c r="O270" s="528"/>
      <c r="P270" s="526"/>
    </row>
    <row r="271" spans="2:16" s="343" customFormat="1" ht="31.5">
      <c r="B271" s="513" t="s">
        <v>1884</v>
      </c>
      <c r="C271" s="116" t="s">
        <v>1961</v>
      </c>
      <c r="D271" s="514"/>
      <c r="E271" s="539" t="s">
        <v>1887</v>
      </c>
      <c r="F271" s="490" t="s">
        <v>1962</v>
      </c>
      <c r="G271" s="490" t="s">
        <v>1963</v>
      </c>
      <c r="H271" s="490" t="s">
        <v>122</v>
      </c>
      <c r="I271" s="491" t="s">
        <v>1964</v>
      </c>
      <c r="J271" s="492" t="s">
        <v>584</v>
      </c>
      <c r="K271" s="526"/>
      <c r="L271" s="527"/>
      <c r="M271" s="526"/>
      <c r="N271" s="526"/>
      <c r="O271" s="528"/>
      <c r="P271" s="526"/>
    </row>
    <row r="272" spans="2:16" s="343" customFormat="1">
      <c r="B272" s="539">
        <v>1</v>
      </c>
      <c r="C272" s="517" t="s">
        <v>563</v>
      </c>
      <c r="D272" s="517" t="s">
        <v>563</v>
      </c>
      <c r="E272" s="259" t="s">
        <v>539</v>
      </c>
      <c r="F272" s="543">
        <v>30</v>
      </c>
      <c r="G272" s="348"/>
      <c r="H272" s="348">
        <v>80</v>
      </c>
      <c r="I272" s="282"/>
      <c r="J272" s="293">
        <f>F272*H272</f>
        <v>2400</v>
      </c>
      <c r="K272" s="526"/>
      <c r="L272" s="527"/>
      <c r="M272" s="526"/>
      <c r="N272" s="526"/>
      <c r="O272" s="528"/>
      <c r="P272" s="526"/>
    </row>
    <row r="273" spans="2:16" s="343" customFormat="1" ht="30.75" customHeight="1">
      <c r="B273" s="539">
        <f>1+B272</f>
        <v>2</v>
      </c>
      <c r="C273" s="517" t="s">
        <v>564</v>
      </c>
      <c r="D273" s="517" t="s">
        <v>564</v>
      </c>
      <c r="E273" s="259" t="s">
        <v>539</v>
      </c>
      <c r="F273" s="543">
        <v>30</v>
      </c>
      <c r="G273" s="348"/>
      <c r="H273" s="348">
        <v>240</v>
      </c>
      <c r="I273" s="282"/>
      <c r="J273" s="293">
        <f t="shared" ref="J273:J290" si="7">F273*H273</f>
        <v>7200</v>
      </c>
      <c r="K273" s="526"/>
      <c r="L273" s="527"/>
      <c r="M273" s="526"/>
      <c r="N273" s="526"/>
      <c r="O273" s="528"/>
      <c r="P273" s="526"/>
    </row>
    <row r="274" spans="2:16" s="343" customFormat="1" ht="18" customHeight="1">
      <c r="B274" s="539">
        <f t="shared" ref="B274:B290" si="8">1+B273</f>
        <v>3</v>
      </c>
      <c r="C274" s="517" t="s">
        <v>565</v>
      </c>
      <c r="D274" s="517" t="s">
        <v>565</v>
      </c>
      <c r="E274" s="259" t="s">
        <v>539</v>
      </c>
      <c r="F274" s="543">
        <v>10</v>
      </c>
      <c r="G274" s="348"/>
      <c r="H274" s="348">
        <v>900</v>
      </c>
      <c r="I274" s="282"/>
      <c r="J274" s="293">
        <f t="shared" si="7"/>
        <v>9000</v>
      </c>
      <c r="K274" s="526"/>
      <c r="L274" s="527"/>
      <c r="M274" s="526"/>
      <c r="N274" s="526"/>
      <c r="O274" s="528"/>
      <c r="P274" s="526"/>
    </row>
    <row r="275" spans="2:16" s="343" customFormat="1">
      <c r="B275" s="539">
        <f t="shared" si="8"/>
        <v>4</v>
      </c>
      <c r="C275" s="517" t="s">
        <v>566</v>
      </c>
      <c r="D275" s="517" t="s">
        <v>566</v>
      </c>
      <c r="E275" s="259" t="s">
        <v>539</v>
      </c>
      <c r="F275" s="543">
        <v>30</v>
      </c>
      <c r="G275" s="348"/>
      <c r="H275" s="348">
        <v>115</v>
      </c>
      <c r="I275" s="282"/>
      <c r="J275" s="293">
        <f t="shared" si="7"/>
        <v>3450</v>
      </c>
      <c r="K275" s="526"/>
      <c r="L275" s="527"/>
      <c r="M275" s="526"/>
      <c r="N275" s="526"/>
      <c r="O275" s="528"/>
      <c r="P275" s="526"/>
    </row>
    <row r="276" spans="2:16" s="343" customFormat="1">
      <c r="B276" s="539">
        <f t="shared" si="8"/>
        <v>5</v>
      </c>
      <c r="C276" s="517" t="s">
        <v>567</v>
      </c>
      <c r="D276" s="517" t="s">
        <v>567</v>
      </c>
      <c r="E276" s="259" t="s">
        <v>539</v>
      </c>
      <c r="F276" s="543">
        <v>10</v>
      </c>
      <c r="G276" s="348"/>
      <c r="H276" s="348">
        <v>1150</v>
      </c>
      <c r="I276" s="282"/>
      <c r="J276" s="293">
        <f t="shared" si="7"/>
        <v>11500</v>
      </c>
      <c r="K276" s="526"/>
      <c r="L276" s="527"/>
      <c r="M276" s="526"/>
      <c r="N276" s="526"/>
      <c r="O276" s="528"/>
      <c r="P276" s="526"/>
    </row>
    <row r="277" spans="2:16" s="343" customFormat="1">
      <c r="B277" s="539">
        <f t="shared" si="8"/>
        <v>6</v>
      </c>
      <c r="C277" s="517" t="s">
        <v>568</v>
      </c>
      <c r="D277" s="517" t="s">
        <v>568</v>
      </c>
      <c r="E277" s="259" t="s">
        <v>539</v>
      </c>
      <c r="F277" s="543">
        <v>20</v>
      </c>
      <c r="G277" s="348"/>
      <c r="H277" s="348">
        <v>78</v>
      </c>
      <c r="I277" s="282"/>
      <c r="J277" s="293">
        <f t="shared" si="7"/>
        <v>1560</v>
      </c>
      <c r="K277" s="526"/>
      <c r="L277" s="527"/>
      <c r="M277" s="526"/>
      <c r="N277" s="526"/>
      <c r="O277" s="528"/>
      <c r="P277" s="526"/>
    </row>
    <row r="278" spans="2:16" s="343" customFormat="1">
      <c r="B278" s="539">
        <f t="shared" si="8"/>
        <v>7</v>
      </c>
      <c r="C278" s="517" t="s">
        <v>569</v>
      </c>
      <c r="D278" s="517" t="s">
        <v>569</v>
      </c>
      <c r="E278" s="259" t="s">
        <v>539</v>
      </c>
      <c r="F278" s="543">
        <v>10</v>
      </c>
      <c r="G278" s="348"/>
      <c r="H278" s="348">
        <v>777</v>
      </c>
      <c r="I278" s="282"/>
      <c r="J278" s="293">
        <f t="shared" si="7"/>
        <v>7770</v>
      </c>
      <c r="K278" s="526"/>
      <c r="L278" s="527"/>
      <c r="M278" s="526"/>
      <c r="N278" s="526"/>
      <c r="O278" s="528"/>
      <c r="P278" s="526"/>
    </row>
    <row r="279" spans="2:16" s="343" customFormat="1">
      <c r="B279" s="539">
        <f t="shared" si="8"/>
        <v>8</v>
      </c>
      <c r="C279" s="517" t="s">
        <v>570</v>
      </c>
      <c r="D279" s="517" t="s">
        <v>570</v>
      </c>
      <c r="E279" s="259" t="s">
        <v>539</v>
      </c>
      <c r="F279" s="543">
        <v>2</v>
      </c>
      <c r="G279" s="348"/>
      <c r="H279" s="348">
        <v>2010</v>
      </c>
      <c r="I279" s="282"/>
      <c r="J279" s="293">
        <f t="shared" si="7"/>
        <v>4020</v>
      </c>
      <c r="K279" s="526"/>
      <c r="L279" s="527"/>
      <c r="M279" s="526"/>
      <c r="N279" s="526"/>
      <c r="O279" s="528"/>
      <c r="P279" s="526"/>
    </row>
    <row r="280" spans="2:16" s="343" customFormat="1">
      <c r="B280" s="539">
        <f t="shared" si="8"/>
        <v>9</v>
      </c>
      <c r="C280" s="517" t="s">
        <v>571</v>
      </c>
      <c r="D280" s="517" t="s">
        <v>571</v>
      </c>
      <c r="E280" s="259" t="s">
        <v>539</v>
      </c>
      <c r="F280" s="543">
        <v>20</v>
      </c>
      <c r="G280" s="348"/>
      <c r="H280" s="348">
        <v>280</v>
      </c>
      <c r="I280" s="282"/>
      <c r="J280" s="293">
        <f t="shared" si="7"/>
        <v>5600</v>
      </c>
      <c r="K280" s="527"/>
      <c r="L280" s="527"/>
      <c r="M280" s="527"/>
      <c r="N280" s="527"/>
      <c r="O280" s="544"/>
      <c r="P280" s="527"/>
    </row>
    <row r="281" spans="2:16" s="343" customFormat="1">
      <c r="B281" s="539">
        <f t="shared" si="8"/>
        <v>10</v>
      </c>
      <c r="C281" s="517" t="s">
        <v>49</v>
      </c>
      <c r="D281" s="517" t="s">
        <v>49</v>
      </c>
      <c r="E281" s="259" t="s">
        <v>539</v>
      </c>
      <c r="F281" s="543">
        <v>1</v>
      </c>
      <c r="G281" s="348"/>
      <c r="H281" s="348">
        <v>5862</v>
      </c>
      <c r="I281" s="282"/>
      <c r="J281" s="293">
        <f t="shared" si="7"/>
        <v>5862</v>
      </c>
      <c r="K281" s="526"/>
      <c r="L281" s="527"/>
      <c r="M281" s="526"/>
      <c r="N281" s="526"/>
      <c r="O281" s="528"/>
      <c r="P281" s="526"/>
    </row>
    <row r="282" spans="2:16" s="343" customFormat="1" ht="15.75" customHeight="1">
      <c r="B282" s="539">
        <f t="shared" si="8"/>
        <v>11</v>
      </c>
      <c r="C282" s="517" t="s">
        <v>572</v>
      </c>
      <c r="D282" s="517" t="s">
        <v>572</v>
      </c>
      <c r="E282" s="259" t="s">
        <v>539</v>
      </c>
      <c r="F282" s="543">
        <v>20</v>
      </c>
      <c r="G282" s="348"/>
      <c r="H282" s="348">
        <v>530</v>
      </c>
      <c r="I282" s="282"/>
      <c r="J282" s="293">
        <f t="shared" si="7"/>
        <v>10600</v>
      </c>
      <c r="K282" s="526"/>
      <c r="L282" s="527"/>
      <c r="M282" s="526"/>
      <c r="N282" s="526"/>
      <c r="O282" s="528"/>
      <c r="P282" s="526"/>
    </row>
    <row r="283" spans="2:16" s="343" customFormat="1">
      <c r="B283" s="539">
        <f t="shared" si="8"/>
        <v>12</v>
      </c>
      <c r="C283" s="517" t="s">
        <v>573</v>
      </c>
      <c r="D283" s="517" t="s">
        <v>573</v>
      </c>
      <c r="E283" s="259" t="s">
        <v>581</v>
      </c>
      <c r="F283" s="543">
        <v>30</v>
      </c>
      <c r="G283" s="348"/>
      <c r="H283" s="348">
        <v>344</v>
      </c>
      <c r="I283" s="282"/>
      <c r="J283" s="293">
        <f t="shared" si="7"/>
        <v>10320</v>
      </c>
      <c r="K283" s="526"/>
      <c r="L283" s="527"/>
      <c r="M283" s="526"/>
      <c r="N283" s="526"/>
      <c r="O283" s="528"/>
      <c r="P283" s="526"/>
    </row>
    <row r="284" spans="2:16" s="343" customFormat="1">
      <c r="B284" s="539">
        <f t="shared" si="8"/>
        <v>13</v>
      </c>
      <c r="C284" s="517" t="s">
        <v>574</v>
      </c>
      <c r="D284" s="517" t="s">
        <v>574</v>
      </c>
      <c r="E284" s="259" t="s">
        <v>581</v>
      </c>
      <c r="F284" s="543">
        <v>10</v>
      </c>
      <c r="G284" s="348"/>
      <c r="H284" s="348">
        <v>318</v>
      </c>
      <c r="I284" s="282"/>
      <c r="J284" s="293">
        <f t="shared" si="7"/>
        <v>3180</v>
      </c>
      <c r="K284" s="526"/>
      <c r="L284" s="527"/>
      <c r="M284" s="526"/>
      <c r="N284" s="526"/>
      <c r="O284" s="528"/>
      <c r="P284" s="526"/>
    </row>
    <row r="285" spans="2:16" s="343" customFormat="1">
      <c r="B285" s="539">
        <f t="shared" si="8"/>
        <v>14</v>
      </c>
      <c r="C285" s="517" t="s">
        <v>575</v>
      </c>
      <c r="D285" s="517" t="s">
        <v>575</v>
      </c>
      <c r="E285" s="259" t="s">
        <v>581</v>
      </c>
      <c r="F285" s="543">
        <v>20</v>
      </c>
      <c r="G285" s="348"/>
      <c r="H285" s="348">
        <v>318</v>
      </c>
      <c r="I285" s="282"/>
      <c r="J285" s="293">
        <f t="shared" si="7"/>
        <v>6360</v>
      </c>
      <c r="K285" s="526"/>
      <c r="L285" s="527"/>
      <c r="M285" s="526"/>
      <c r="N285" s="526"/>
      <c r="O285" s="528"/>
      <c r="P285" s="526"/>
    </row>
    <row r="286" spans="2:16" s="343" customFormat="1">
      <c r="B286" s="539">
        <f t="shared" si="8"/>
        <v>15</v>
      </c>
      <c r="C286" s="517" t="s">
        <v>576</v>
      </c>
      <c r="D286" s="517" t="s">
        <v>576</v>
      </c>
      <c r="E286" s="259" t="s">
        <v>539</v>
      </c>
      <c r="F286" s="543">
        <v>2</v>
      </c>
      <c r="G286" s="348"/>
      <c r="H286" s="348">
        <v>1410</v>
      </c>
      <c r="I286" s="282"/>
      <c r="J286" s="293">
        <f t="shared" si="7"/>
        <v>2820</v>
      </c>
      <c r="K286" s="526"/>
      <c r="L286" s="527"/>
      <c r="M286" s="526"/>
      <c r="N286" s="526"/>
      <c r="O286" s="528"/>
      <c r="P286" s="526"/>
    </row>
    <row r="287" spans="2:16" s="343" customFormat="1">
      <c r="B287" s="539">
        <f t="shared" si="8"/>
        <v>16</v>
      </c>
      <c r="C287" s="517" t="s">
        <v>577</v>
      </c>
      <c r="D287" s="517" t="s">
        <v>577</v>
      </c>
      <c r="E287" s="259" t="s">
        <v>539</v>
      </c>
      <c r="F287" s="543">
        <v>20</v>
      </c>
      <c r="G287" s="348"/>
      <c r="H287" s="348">
        <v>232</v>
      </c>
      <c r="I287" s="282"/>
      <c r="J287" s="293">
        <f t="shared" si="7"/>
        <v>4640</v>
      </c>
      <c r="K287" s="526"/>
      <c r="L287" s="527"/>
      <c r="M287" s="526"/>
      <c r="N287" s="526"/>
      <c r="O287" s="528"/>
      <c r="P287" s="526"/>
    </row>
    <row r="288" spans="2:16" s="343" customFormat="1">
      <c r="B288" s="539">
        <f t="shared" si="8"/>
        <v>17</v>
      </c>
      <c r="C288" s="517" t="s">
        <v>578</v>
      </c>
      <c r="D288" s="517" t="s">
        <v>578</v>
      </c>
      <c r="E288" s="259" t="s">
        <v>539</v>
      </c>
      <c r="F288" s="543">
        <v>15</v>
      </c>
      <c r="G288" s="348"/>
      <c r="H288" s="348">
        <v>960</v>
      </c>
      <c r="I288" s="282"/>
      <c r="J288" s="293">
        <f t="shared" si="7"/>
        <v>14400</v>
      </c>
      <c r="K288" s="526"/>
      <c r="L288" s="527"/>
      <c r="M288" s="526"/>
      <c r="N288" s="526"/>
      <c r="O288" s="528"/>
      <c r="P288" s="526"/>
    </row>
    <row r="289" spans="2:19" s="343" customFormat="1">
      <c r="B289" s="539">
        <f t="shared" si="8"/>
        <v>18</v>
      </c>
      <c r="C289" s="517" t="s">
        <v>579</v>
      </c>
      <c r="D289" s="517" t="s">
        <v>579</v>
      </c>
      <c r="E289" s="259" t="s">
        <v>539</v>
      </c>
      <c r="F289" s="543">
        <v>2</v>
      </c>
      <c r="G289" s="348"/>
      <c r="H289" s="348">
        <v>3947</v>
      </c>
      <c r="I289" s="282"/>
      <c r="J289" s="293">
        <f t="shared" si="7"/>
        <v>7894</v>
      </c>
      <c r="K289" s="526"/>
      <c r="L289" s="527"/>
      <c r="M289" s="526"/>
      <c r="N289" s="526"/>
      <c r="O289" s="528"/>
      <c r="P289" s="526"/>
    </row>
    <row r="290" spans="2:19" s="343" customFormat="1">
      <c r="B290" s="539">
        <f t="shared" si="8"/>
        <v>19</v>
      </c>
      <c r="C290" s="517" t="s">
        <v>580</v>
      </c>
      <c r="D290" s="517" t="s">
        <v>580</v>
      </c>
      <c r="E290" s="259" t="s">
        <v>539</v>
      </c>
      <c r="F290" s="543">
        <v>5</v>
      </c>
      <c r="G290" s="348"/>
      <c r="H290" s="348">
        <v>500</v>
      </c>
      <c r="I290" s="282"/>
      <c r="J290" s="293">
        <f t="shared" si="7"/>
        <v>2500</v>
      </c>
      <c r="K290" s="526"/>
      <c r="L290" s="527"/>
      <c r="M290" s="526"/>
      <c r="N290" s="526"/>
      <c r="O290" s="528"/>
      <c r="P290" s="526"/>
    </row>
    <row r="291" spans="2:19" s="343" customFormat="1">
      <c r="B291" s="280"/>
      <c r="C291" s="488"/>
      <c r="D291" s="284"/>
      <c r="E291" s="280"/>
      <c r="F291" s="280"/>
      <c r="G291" s="280"/>
      <c r="H291" s="280"/>
      <c r="I291" s="282"/>
      <c r="J291" s="293">
        <f>SUM(J272:J290)</f>
        <v>121076</v>
      </c>
      <c r="K291" s="526"/>
      <c r="L291" s="527"/>
      <c r="M291" s="526"/>
      <c r="N291" s="526"/>
      <c r="O291" s="528"/>
      <c r="P291" s="526"/>
    </row>
    <row r="292" spans="2:19" s="343" customFormat="1">
      <c r="B292" s="495"/>
      <c r="C292" s="485"/>
      <c r="D292" s="535"/>
      <c r="E292" s="495"/>
      <c r="F292" s="495"/>
      <c r="G292" s="495"/>
      <c r="H292" s="495"/>
      <c r="I292" s="501"/>
      <c r="J292" s="502"/>
      <c r="K292" s="526"/>
      <c r="L292" s="527"/>
      <c r="M292" s="526"/>
      <c r="N292" s="526"/>
      <c r="O292" s="528"/>
      <c r="P292" s="526"/>
    </row>
    <row r="293" spans="2:19" s="343" customFormat="1">
      <c r="B293" s="495"/>
      <c r="C293" s="540" t="s">
        <v>1842</v>
      </c>
      <c r="D293" s="536"/>
      <c r="E293" s="992" t="s">
        <v>1829</v>
      </c>
      <c r="F293" s="992"/>
      <c r="G293" s="993"/>
      <c r="H293" s="993"/>
      <c r="I293" s="501"/>
      <c r="J293" s="502"/>
      <c r="K293" s="526"/>
      <c r="L293" s="527"/>
      <c r="M293" s="526"/>
      <c r="N293" s="526"/>
      <c r="O293" s="528"/>
      <c r="P293" s="526"/>
    </row>
    <row r="294" spans="2:19" s="343" customFormat="1">
      <c r="B294" s="495"/>
      <c r="C294" s="485"/>
      <c r="D294" s="535"/>
      <c r="E294" s="495"/>
      <c r="F294" s="495"/>
      <c r="G294" s="495"/>
      <c r="H294" s="495"/>
      <c r="I294" s="501"/>
      <c r="J294" s="502"/>
      <c r="K294" s="526"/>
      <c r="L294" s="527"/>
      <c r="M294" s="526"/>
      <c r="N294" s="526"/>
      <c r="O294" s="528"/>
      <c r="P294" s="526"/>
    </row>
    <row r="295" spans="2:19" s="343" customFormat="1">
      <c r="B295" s="495"/>
      <c r="C295" s="545" t="s">
        <v>1285</v>
      </c>
      <c r="D295" s="542" t="s">
        <v>50</v>
      </c>
      <c r="E295" s="495"/>
      <c r="F295" s="495"/>
      <c r="G295" s="495"/>
      <c r="H295" s="495"/>
      <c r="I295" s="501"/>
      <c r="J295" s="502"/>
      <c r="K295" s="526"/>
      <c r="L295" s="527"/>
      <c r="M295" s="526"/>
      <c r="N295" s="526"/>
      <c r="O295" s="528"/>
      <c r="P295" s="526"/>
    </row>
    <row r="296" spans="2:19" s="343" customFormat="1">
      <c r="B296" s="495"/>
      <c r="C296" s="485"/>
      <c r="D296" s="535"/>
      <c r="E296" s="495"/>
      <c r="F296" s="495"/>
      <c r="G296" s="495"/>
      <c r="H296" s="495"/>
      <c r="I296" s="501"/>
      <c r="J296" s="502"/>
      <c r="K296" s="526"/>
      <c r="L296" s="527"/>
      <c r="M296" s="526"/>
      <c r="N296" s="526"/>
      <c r="O296" s="528"/>
      <c r="P296" s="526"/>
    </row>
    <row r="297" spans="2:19" s="356" customFormat="1" ht="31.5">
      <c r="B297" s="525" t="s">
        <v>1329</v>
      </c>
      <c r="C297" s="116" t="s">
        <v>560</v>
      </c>
      <c r="D297" s="284"/>
      <c r="E297" s="539" t="s">
        <v>1887</v>
      </c>
      <c r="F297" s="490" t="s">
        <v>1962</v>
      </c>
      <c r="G297" s="490" t="s">
        <v>1963</v>
      </c>
      <c r="H297" s="490" t="s">
        <v>122</v>
      </c>
      <c r="I297" s="491" t="s">
        <v>1964</v>
      </c>
      <c r="J297" s="492" t="s">
        <v>584</v>
      </c>
      <c r="K297" s="526"/>
      <c r="L297" s="527"/>
      <c r="M297" s="526"/>
      <c r="N297" s="526"/>
      <c r="O297" s="528"/>
      <c r="P297" s="526"/>
      <c r="S297" s="671"/>
    </row>
    <row r="298" spans="2:19" s="343" customFormat="1">
      <c r="B298" s="518">
        <v>1</v>
      </c>
      <c r="C298" s="261" t="s">
        <v>586</v>
      </c>
      <c r="D298" s="261" t="s">
        <v>586</v>
      </c>
      <c r="E298" s="546" t="s">
        <v>1965</v>
      </c>
      <c r="F298" s="547">
        <v>800</v>
      </c>
      <c r="G298" s="280"/>
      <c r="H298" s="548">
        <v>6.42</v>
      </c>
      <c r="I298" s="282"/>
      <c r="J298" s="293">
        <f>F298*H298</f>
        <v>5136</v>
      </c>
      <c r="K298" s="549"/>
      <c r="L298" s="527"/>
      <c r="M298" s="526"/>
      <c r="N298" s="526"/>
      <c r="O298" s="528"/>
      <c r="P298" s="526"/>
    </row>
    <row r="299" spans="2:19" s="343" customFormat="1">
      <c r="B299" s="518">
        <f>1+B298</f>
        <v>2</v>
      </c>
      <c r="C299" s="261" t="s">
        <v>587</v>
      </c>
      <c r="D299" s="261" t="s">
        <v>587</v>
      </c>
      <c r="E299" s="546" t="s">
        <v>1965</v>
      </c>
      <c r="F299" s="547">
        <v>1000</v>
      </c>
      <c r="G299" s="280"/>
      <c r="H299" s="548">
        <v>11.77</v>
      </c>
      <c r="I299" s="282"/>
      <c r="J299" s="293">
        <f t="shared" ref="J299:J362" si="9">F299*H299</f>
        <v>11770</v>
      </c>
      <c r="K299" s="549"/>
      <c r="L299" s="527"/>
      <c r="M299" s="526"/>
      <c r="N299" s="526"/>
      <c r="O299" s="528"/>
      <c r="P299" s="526"/>
    </row>
    <row r="300" spans="2:19" s="343" customFormat="1">
      <c r="B300" s="518">
        <f t="shared" ref="B300:B363" si="10">1+B299</f>
        <v>3</v>
      </c>
      <c r="C300" s="261" t="s">
        <v>588</v>
      </c>
      <c r="D300" s="261" t="s">
        <v>588</v>
      </c>
      <c r="E300" s="546" t="s">
        <v>1965</v>
      </c>
      <c r="F300" s="547">
        <v>500</v>
      </c>
      <c r="G300" s="280"/>
      <c r="H300" s="548">
        <v>12.84</v>
      </c>
      <c r="I300" s="282"/>
      <c r="J300" s="293">
        <f t="shared" si="9"/>
        <v>6420</v>
      </c>
      <c r="K300" s="549"/>
      <c r="L300" s="527"/>
      <c r="M300" s="526"/>
      <c r="N300" s="526"/>
      <c r="O300" s="528"/>
      <c r="P300" s="526"/>
    </row>
    <row r="301" spans="2:19" s="343" customFormat="1">
      <c r="B301" s="518">
        <f t="shared" si="10"/>
        <v>4</v>
      </c>
      <c r="C301" s="261" t="s">
        <v>589</v>
      </c>
      <c r="D301" s="261" t="s">
        <v>589</v>
      </c>
      <c r="E301" s="546" t="s">
        <v>1965</v>
      </c>
      <c r="F301" s="546">
        <v>150</v>
      </c>
      <c r="G301" s="280"/>
      <c r="H301" s="548">
        <v>97.7</v>
      </c>
      <c r="I301" s="282"/>
      <c r="J301" s="293">
        <f t="shared" si="9"/>
        <v>14655</v>
      </c>
      <c r="K301" s="549"/>
      <c r="L301" s="527"/>
      <c r="M301" s="526"/>
      <c r="N301" s="526"/>
      <c r="O301" s="528"/>
      <c r="P301" s="526"/>
    </row>
    <row r="302" spans="2:19" s="343" customFormat="1">
      <c r="B302" s="518">
        <f t="shared" si="10"/>
        <v>5</v>
      </c>
      <c r="C302" s="261" t="s">
        <v>590</v>
      </c>
      <c r="D302" s="261" t="s">
        <v>590</v>
      </c>
      <c r="E302" s="546" t="s">
        <v>1965</v>
      </c>
      <c r="F302" s="547">
        <v>400</v>
      </c>
      <c r="G302" s="280"/>
      <c r="H302" s="548">
        <v>17.12</v>
      </c>
      <c r="I302" s="282"/>
      <c r="J302" s="293">
        <f t="shared" si="9"/>
        <v>6848</v>
      </c>
      <c r="K302" s="549"/>
      <c r="L302" s="527"/>
      <c r="M302" s="526"/>
      <c r="N302" s="526"/>
      <c r="O302" s="528"/>
      <c r="P302" s="526"/>
    </row>
    <row r="303" spans="2:19" s="343" customFormat="1">
      <c r="B303" s="518">
        <f t="shared" si="10"/>
        <v>6</v>
      </c>
      <c r="C303" s="261" t="s">
        <v>591</v>
      </c>
      <c r="D303" s="261" t="s">
        <v>591</v>
      </c>
      <c r="E303" s="546" t="s">
        <v>1965</v>
      </c>
      <c r="F303" s="547">
        <v>20</v>
      </c>
      <c r="G303" s="280"/>
      <c r="H303" s="548">
        <v>94.16</v>
      </c>
      <c r="I303" s="282"/>
      <c r="J303" s="293">
        <f t="shared" si="9"/>
        <v>1883.1999999999998</v>
      </c>
      <c r="K303" s="549"/>
      <c r="L303" s="527"/>
      <c r="M303" s="526"/>
      <c r="N303" s="526"/>
      <c r="O303" s="528"/>
      <c r="P303" s="526"/>
    </row>
    <row r="304" spans="2:19" s="343" customFormat="1">
      <c r="B304" s="518">
        <f t="shared" si="10"/>
        <v>7</v>
      </c>
      <c r="C304" s="261" t="s">
        <v>592</v>
      </c>
      <c r="D304" s="261" t="s">
        <v>592</v>
      </c>
      <c r="E304" s="546" t="s">
        <v>548</v>
      </c>
      <c r="F304" s="547">
        <v>10</v>
      </c>
      <c r="G304" s="280"/>
      <c r="H304" s="548">
        <v>235.4</v>
      </c>
      <c r="I304" s="282"/>
      <c r="J304" s="293">
        <f t="shared" si="9"/>
        <v>2354</v>
      </c>
      <c r="K304" s="549"/>
      <c r="L304" s="527"/>
      <c r="M304" s="526"/>
      <c r="N304" s="526"/>
      <c r="O304" s="528"/>
      <c r="P304" s="526"/>
    </row>
    <row r="305" spans="2:16" s="343" customFormat="1">
      <c r="B305" s="518">
        <f t="shared" si="10"/>
        <v>8</v>
      </c>
      <c r="C305" s="261" t="s">
        <v>593</v>
      </c>
      <c r="D305" s="261" t="s">
        <v>593</v>
      </c>
      <c r="E305" s="546" t="s">
        <v>548</v>
      </c>
      <c r="F305" s="547">
        <v>10</v>
      </c>
      <c r="G305" s="280"/>
      <c r="H305" s="548">
        <v>235.4</v>
      </c>
      <c r="I305" s="282"/>
      <c r="J305" s="293">
        <f t="shared" si="9"/>
        <v>2354</v>
      </c>
      <c r="K305" s="549"/>
      <c r="L305" s="527"/>
      <c r="M305" s="526"/>
      <c r="N305" s="526"/>
      <c r="O305" s="528"/>
      <c r="P305" s="526"/>
    </row>
    <row r="306" spans="2:16" s="343" customFormat="1">
      <c r="B306" s="518">
        <f t="shared" si="10"/>
        <v>9</v>
      </c>
      <c r="C306" s="261" t="s">
        <v>594</v>
      </c>
      <c r="D306" s="261" t="s">
        <v>594</v>
      </c>
      <c r="E306" s="546" t="s">
        <v>548</v>
      </c>
      <c r="F306" s="547">
        <v>1</v>
      </c>
      <c r="G306" s="280"/>
      <c r="H306" s="548">
        <v>235.4</v>
      </c>
      <c r="I306" s="282"/>
      <c r="J306" s="293">
        <f t="shared" si="9"/>
        <v>235.4</v>
      </c>
      <c r="K306" s="549"/>
      <c r="L306" s="527"/>
      <c r="M306" s="526"/>
      <c r="N306" s="526"/>
      <c r="O306" s="528"/>
      <c r="P306" s="526"/>
    </row>
    <row r="307" spans="2:16" s="343" customFormat="1">
      <c r="B307" s="518">
        <f t="shared" si="10"/>
        <v>10</v>
      </c>
      <c r="C307" s="261" t="s">
        <v>595</v>
      </c>
      <c r="D307" s="261" t="s">
        <v>595</v>
      </c>
      <c r="E307" s="546" t="s">
        <v>1965</v>
      </c>
      <c r="F307" s="546">
        <v>3</v>
      </c>
      <c r="G307" s="280"/>
      <c r="H307" s="548">
        <v>1503.35</v>
      </c>
      <c r="I307" s="282"/>
      <c r="J307" s="293">
        <f t="shared" si="9"/>
        <v>4510.0499999999993</v>
      </c>
      <c r="K307" s="549"/>
      <c r="L307" s="527"/>
      <c r="M307" s="526"/>
      <c r="N307" s="526"/>
      <c r="O307" s="528"/>
      <c r="P307" s="526"/>
    </row>
    <row r="308" spans="2:16" s="343" customFormat="1">
      <c r="B308" s="518">
        <f t="shared" si="10"/>
        <v>11</v>
      </c>
      <c r="C308" s="261" t="s">
        <v>596</v>
      </c>
      <c r="D308" s="261" t="s">
        <v>596</v>
      </c>
      <c r="E308" s="546" t="s">
        <v>1965</v>
      </c>
      <c r="F308" s="546">
        <v>3</v>
      </c>
      <c r="G308" s="280"/>
      <c r="H308" s="548">
        <v>2841.92</v>
      </c>
      <c r="I308" s="282"/>
      <c r="J308" s="293">
        <f t="shared" si="9"/>
        <v>8525.76</v>
      </c>
      <c r="K308" s="549"/>
      <c r="L308" s="527"/>
      <c r="M308" s="526"/>
      <c r="N308" s="526"/>
      <c r="O308" s="528"/>
      <c r="P308" s="526"/>
    </row>
    <row r="309" spans="2:16" s="343" customFormat="1">
      <c r="B309" s="518">
        <f t="shared" si="10"/>
        <v>12</v>
      </c>
      <c r="C309" s="261" t="s">
        <v>597</v>
      </c>
      <c r="D309" s="261" t="s">
        <v>597</v>
      </c>
      <c r="E309" s="546" t="s">
        <v>1965</v>
      </c>
      <c r="F309" s="546">
        <v>2</v>
      </c>
      <c r="G309" s="280"/>
      <c r="H309" s="548">
        <v>3376.92</v>
      </c>
      <c r="I309" s="282"/>
      <c r="J309" s="293">
        <f t="shared" si="9"/>
        <v>6753.84</v>
      </c>
      <c r="K309" s="549"/>
      <c r="L309" s="527"/>
      <c r="M309" s="526"/>
      <c r="N309" s="526"/>
      <c r="O309" s="528"/>
      <c r="P309" s="526"/>
    </row>
    <row r="310" spans="2:16" s="343" customFormat="1">
      <c r="B310" s="518">
        <f t="shared" si="10"/>
        <v>13</v>
      </c>
      <c r="C310" s="261" t="s">
        <v>598</v>
      </c>
      <c r="D310" s="261" t="s">
        <v>598</v>
      </c>
      <c r="E310" s="546" t="s">
        <v>1965</v>
      </c>
      <c r="F310" s="546">
        <v>3</v>
      </c>
      <c r="G310" s="280"/>
      <c r="H310" s="548">
        <v>2996</v>
      </c>
      <c r="I310" s="282"/>
      <c r="J310" s="293">
        <f t="shared" si="9"/>
        <v>8988</v>
      </c>
      <c r="K310" s="549"/>
      <c r="L310" s="527"/>
      <c r="M310" s="526"/>
      <c r="N310" s="526"/>
      <c r="O310" s="528"/>
      <c r="P310" s="526"/>
    </row>
    <row r="311" spans="2:16" s="343" customFormat="1" ht="15.75" customHeight="1">
      <c r="B311" s="518">
        <f t="shared" si="10"/>
        <v>14</v>
      </c>
      <c r="C311" s="261" t="s">
        <v>599</v>
      </c>
      <c r="D311" s="261" t="s">
        <v>599</v>
      </c>
      <c r="E311" s="546" t="s">
        <v>1965</v>
      </c>
      <c r="F311" s="546">
        <v>2</v>
      </c>
      <c r="G311" s="280"/>
      <c r="H311" s="548">
        <v>1495.86</v>
      </c>
      <c r="I311" s="282"/>
      <c r="J311" s="293">
        <f t="shared" si="9"/>
        <v>2991.72</v>
      </c>
      <c r="K311" s="549"/>
      <c r="L311" s="527"/>
      <c r="M311" s="526"/>
      <c r="N311" s="526"/>
      <c r="O311" s="528"/>
      <c r="P311" s="526"/>
    </row>
    <row r="312" spans="2:16" s="343" customFormat="1">
      <c r="B312" s="518">
        <f t="shared" si="10"/>
        <v>15</v>
      </c>
      <c r="C312" s="261" t="s">
        <v>600</v>
      </c>
      <c r="D312" s="261" t="s">
        <v>600</v>
      </c>
      <c r="E312" s="546" t="s">
        <v>1965</v>
      </c>
      <c r="F312" s="546">
        <v>2</v>
      </c>
      <c r="G312" s="280"/>
      <c r="H312" s="548">
        <v>2236.3000000000002</v>
      </c>
      <c r="I312" s="282"/>
      <c r="J312" s="293">
        <f t="shared" si="9"/>
        <v>4472.6000000000004</v>
      </c>
      <c r="K312" s="549"/>
      <c r="L312" s="527"/>
      <c r="M312" s="526"/>
      <c r="N312" s="526"/>
      <c r="O312" s="528"/>
      <c r="P312" s="526"/>
    </row>
    <row r="313" spans="2:16" s="343" customFormat="1">
      <c r="B313" s="518">
        <f t="shared" si="10"/>
        <v>16</v>
      </c>
      <c r="C313" s="261" t="s">
        <v>601</v>
      </c>
      <c r="D313" s="261" t="s">
        <v>601</v>
      </c>
      <c r="E313" s="546" t="s">
        <v>1965</v>
      </c>
      <c r="F313" s="546">
        <v>1</v>
      </c>
      <c r="G313" s="280"/>
      <c r="H313" s="548">
        <v>2889</v>
      </c>
      <c r="I313" s="282"/>
      <c r="J313" s="293">
        <f t="shared" si="9"/>
        <v>2889</v>
      </c>
      <c r="K313" s="549"/>
      <c r="L313" s="527"/>
      <c r="M313" s="526"/>
      <c r="N313" s="526"/>
      <c r="O313" s="528"/>
      <c r="P313" s="526"/>
    </row>
    <row r="314" spans="2:16" s="343" customFormat="1">
      <c r="B314" s="518">
        <f t="shared" si="10"/>
        <v>17</v>
      </c>
      <c r="C314" s="261" t="s">
        <v>602</v>
      </c>
      <c r="D314" s="261" t="s">
        <v>602</v>
      </c>
      <c r="E314" s="546" t="s">
        <v>1965</v>
      </c>
      <c r="F314" s="547">
        <v>800</v>
      </c>
      <c r="G314" s="280"/>
      <c r="H314" s="548">
        <v>11</v>
      </c>
      <c r="I314" s="282"/>
      <c r="J314" s="293">
        <f t="shared" si="9"/>
        <v>8800</v>
      </c>
      <c r="K314" s="549"/>
      <c r="L314" s="527"/>
      <c r="M314" s="526"/>
      <c r="N314" s="526"/>
      <c r="O314" s="528"/>
      <c r="P314" s="526"/>
    </row>
    <row r="315" spans="2:16" s="343" customFormat="1">
      <c r="B315" s="518">
        <f t="shared" si="10"/>
        <v>18</v>
      </c>
      <c r="C315" s="261" t="s">
        <v>603</v>
      </c>
      <c r="D315" s="261" t="s">
        <v>603</v>
      </c>
      <c r="E315" s="546" t="s">
        <v>1965</v>
      </c>
      <c r="F315" s="547">
        <v>800</v>
      </c>
      <c r="G315" s="280"/>
      <c r="H315" s="548">
        <v>11</v>
      </c>
      <c r="I315" s="282"/>
      <c r="J315" s="293">
        <f t="shared" si="9"/>
        <v>8800</v>
      </c>
      <c r="K315" s="549"/>
      <c r="L315" s="527"/>
      <c r="M315" s="526"/>
      <c r="N315" s="526"/>
      <c r="O315" s="528"/>
      <c r="P315" s="526"/>
    </row>
    <row r="316" spans="2:16" s="343" customFormat="1">
      <c r="B316" s="518">
        <f t="shared" si="10"/>
        <v>19</v>
      </c>
      <c r="C316" s="261" t="s">
        <v>604</v>
      </c>
      <c r="D316" s="261" t="s">
        <v>604</v>
      </c>
      <c r="E316" s="546" t="s">
        <v>1965</v>
      </c>
      <c r="F316" s="547">
        <v>400</v>
      </c>
      <c r="G316" s="280"/>
      <c r="H316" s="548">
        <v>11</v>
      </c>
      <c r="I316" s="282"/>
      <c r="J316" s="293">
        <f t="shared" si="9"/>
        <v>4400</v>
      </c>
      <c r="K316" s="549"/>
      <c r="L316" s="527"/>
      <c r="M316" s="526"/>
      <c r="N316" s="526"/>
      <c r="O316" s="528"/>
      <c r="P316" s="526"/>
    </row>
    <row r="317" spans="2:16" s="343" customFormat="1">
      <c r="B317" s="518">
        <f t="shared" si="10"/>
        <v>20</v>
      </c>
      <c r="C317" s="261" t="s">
        <v>605</v>
      </c>
      <c r="D317" s="261" t="s">
        <v>605</v>
      </c>
      <c r="E317" s="546" t="s">
        <v>51</v>
      </c>
      <c r="F317" s="546">
        <v>50</v>
      </c>
      <c r="G317" s="280"/>
      <c r="H317" s="548">
        <v>107</v>
      </c>
      <c r="I317" s="282"/>
      <c r="J317" s="293">
        <f t="shared" si="9"/>
        <v>5350</v>
      </c>
      <c r="K317" s="549"/>
      <c r="L317" s="527"/>
      <c r="M317" s="526"/>
      <c r="N317" s="526"/>
      <c r="O317" s="528"/>
      <c r="P317" s="526"/>
    </row>
    <row r="318" spans="2:16" s="343" customFormat="1">
      <c r="B318" s="518">
        <f t="shared" si="10"/>
        <v>21</v>
      </c>
      <c r="C318" s="261" t="s">
        <v>606</v>
      </c>
      <c r="D318" s="261" t="s">
        <v>606</v>
      </c>
      <c r="E318" s="546" t="s">
        <v>1965</v>
      </c>
      <c r="F318" s="546">
        <v>800</v>
      </c>
      <c r="G318" s="280"/>
      <c r="H318" s="548">
        <v>12.84</v>
      </c>
      <c r="I318" s="282"/>
      <c r="J318" s="293">
        <f t="shared" si="9"/>
        <v>10272</v>
      </c>
      <c r="K318" s="549"/>
      <c r="L318" s="527"/>
      <c r="M318" s="526"/>
      <c r="N318" s="526"/>
      <c r="O318" s="528"/>
      <c r="P318" s="526"/>
    </row>
    <row r="319" spans="2:16" s="343" customFormat="1">
      <c r="B319" s="518">
        <f t="shared" si="10"/>
        <v>22</v>
      </c>
      <c r="C319" s="261" t="s">
        <v>607</v>
      </c>
      <c r="D319" s="261" t="s">
        <v>607</v>
      </c>
      <c r="E319" s="546" t="s">
        <v>1965</v>
      </c>
      <c r="F319" s="546">
        <v>600</v>
      </c>
      <c r="G319" s="280"/>
      <c r="H319" s="548">
        <v>21.4</v>
      </c>
      <c r="I319" s="282"/>
      <c r="J319" s="293">
        <f t="shared" si="9"/>
        <v>12840</v>
      </c>
      <c r="K319" s="549"/>
      <c r="L319" s="527"/>
      <c r="M319" s="526"/>
      <c r="N319" s="526"/>
      <c r="O319" s="528"/>
      <c r="P319" s="526"/>
    </row>
    <row r="320" spans="2:16" s="343" customFormat="1">
      <c r="B320" s="518">
        <f t="shared" si="10"/>
        <v>23</v>
      </c>
      <c r="C320" s="261" t="s">
        <v>52</v>
      </c>
      <c r="D320" s="261" t="s">
        <v>52</v>
      </c>
      <c r="E320" s="546" t="s">
        <v>671</v>
      </c>
      <c r="F320" s="546">
        <v>1500</v>
      </c>
      <c r="G320" s="280"/>
      <c r="H320" s="548">
        <v>12.4</v>
      </c>
      <c r="I320" s="282"/>
      <c r="J320" s="293">
        <f t="shared" si="9"/>
        <v>18600</v>
      </c>
      <c r="K320" s="549"/>
      <c r="L320" s="527"/>
      <c r="M320" s="526"/>
      <c r="N320" s="526"/>
      <c r="O320" s="528"/>
      <c r="P320" s="526"/>
    </row>
    <row r="321" spans="2:16" s="343" customFormat="1">
      <c r="B321" s="518">
        <f t="shared" si="10"/>
        <v>24</v>
      </c>
      <c r="C321" s="261" t="s">
        <v>53</v>
      </c>
      <c r="D321" s="261" t="s">
        <v>53</v>
      </c>
      <c r="E321" s="546" t="s">
        <v>671</v>
      </c>
      <c r="F321" s="546">
        <v>2000</v>
      </c>
      <c r="G321" s="280"/>
      <c r="H321" s="548">
        <v>12.4</v>
      </c>
      <c r="I321" s="282"/>
      <c r="J321" s="293">
        <f t="shared" si="9"/>
        <v>24800</v>
      </c>
      <c r="K321" s="549"/>
      <c r="L321" s="527"/>
      <c r="M321" s="526"/>
      <c r="N321" s="526"/>
      <c r="O321" s="528"/>
      <c r="P321" s="526"/>
    </row>
    <row r="322" spans="2:16" s="343" customFormat="1">
      <c r="B322" s="518">
        <f t="shared" si="10"/>
        <v>25</v>
      </c>
      <c r="C322" s="261" t="s">
        <v>54</v>
      </c>
      <c r="D322" s="261" t="s">
        <v>54</v>
      </c>
      <c r="E322" s="546" t="s">
        <v>671</v>
      </c>
      <c r="F322" s="546">
        <v>800</v>
      </c>
      <c r="G322" s="280"/>
      <c r="H322" s="548">
        <v>12.4</v>
      </c>
      <c r="I322" s="282"/>
      <c r="J322" s="293">
        <f t="shared" si="9"/>
        <v>9920</v>
      </c>
      <c r="K322" s="549"/>
      <c r="L322" s="527"/>
      <c r="M322" s="526"/>
      <c r="N322" s="526"/>
      <c r="O322" s="528"/>
      <c r="P322" s="526"/>
    </row>
    <row r="323" spans="2:16" s="461" customFormat="1">
      <c r="B323" s="518">
        <f t="shared" si="10"/>
        <v>26</v>
      </c>
      <c r="C323" s="261" t="s">
        <v>608</v>
      </c>
      <c r="D323" s="261" t="s">
        <v>608</v>
      </c>
      <c r="E323" s="546" t="s">
        <v>1965</v>
      </c>
      <c r="F323" s="546">
        <v>1000</v>
      </c>
      <c r="G323" s="280"/>
      <c r="H323" s="548">
        <v>14</v>
      </c>
      <c r="I323" s="282"/>
      <c r="J323" s="293">
        <f t="shared" si="9"/>
        <v>14000</v>
      </c>
      <c r="K323" s="549"/>
      <c r="L323" s="527"/>
      <c r="M323" s="526"/>
      <c r="N323" s="526"/>
      <c r="O323" s="528"/>
      <c r="P323" s="526"/>
    </row>
    <row r="324" spans="2:16" s="461" customFormat="1">
      <c r="B324" s="518">
        <f t="shared" si="10"/>
        <v>27</v>
      </c>
      <c r="C324" s="261" t="s">
        <v>609</v>
      </c>
      <c r="D324" s="261" t="s">
        <v>609</v>
      </c>
      <c r="E324" s="546" t="s">
        <v>1965</v>
      </c>
      <c r="F324" s="546">
        <v>4000</v>
      </c>
      <c r="G324" s="280"/>
      <c r="H324" s="548">
        <v>12</v>
      </c>
      <c r="I324" s="282"/>
      <c r="J324" s="293">
        <f t="shared" si="9"/>
        <v>48000</v>
      </c>
      <c r="K324" s="549"/>
      <c r="L324" s="527"/>
      <c r="M324" s="526"/>
      <c r="N324" s="526"/>
      <c r="O324" s="528"/>
      <c r="P324" s="526"/>
    </row>
    <row r="325" spans="2:16" s="461" customFormat="1">
      <c r="B325" s="518">
        <f t="shared" si="10"/>
        <v>28</v>
      </c>
      <c r="C325" s="261" t="s">
        <v>610</v>
      </c>
      <c r="D325" s="261" t="s">
        <v>610</v>
      </c>
      <c r="E325" s="546" t="s">
        <v>548</v>
      </c>
      <c r="F325" s="546">
        <v>100</v>
      </c>
      <c r="G325" s="280"/>
      <c r="H325" s="548">
        <v>96.3</v>
      </c>
      <c r="I325" s="282"/>
      <c r="J325" s="293">
        <f t="shared" si="9"/>
        <v>9630</v>
      </c>
      <c r="K325" s="549"/>
      <c r="L325" s="527"/>
      <c r="M325" s="526"/>
      <c r="N325" s="526"/>
      <c r="O325" s="528"/>
      <c r="P325" s="526"/>
    </row>
    <row r="326" spans="2:16" s="461" customFormat="1">
      <c r="B326" s="518">
        <f t="shared" si="10"/>
        <v>29</v>
      </c>
      <c r="C326" s="261" t="s">
        <v>55</v>
      </c>
      <c r="D326" s="261" t="s">
        <v>55</v>
      </c>
      <c r="E326" s="546" t="s">
        <v>1965</v>
      </c>
      <c r="F326" s="546">
        <v>400</v>
      </c>
      <c r="G326" s="280"/>
      <c r="H326" s="548">
        <v>9.6300000000000008</v>
      </c>
      <c r="I326" s="282"/>
      <c r="J326" s="293">
        <f t="shared" si="9"/>
        <v>3852.0000000000005</v>
      </c>
      <c r="K326" s="549"/>
      <c r="L326" s="527"/>
      <c r="M326" s="526"/>
      <c r="N326" s="526"/>
      <c r="O326" s="528"/>
      <c r="P326" s="526"/>
    </row>
    <row r="327" spans="2:16" s="461" customFormat="1">
      <c r="B327" s="518">
        <f t="shared" si="10"/>
        <v>30</v>
      </c>
      <c r="C327" s="261" t="s">
        <v>611</v>
      </c>
      <c r="D327" s="261" t="s">
        <v>611</v>
      </c>
      <c r="E327" s="546" t="s">
        <v>1965</v>
      </c>
      <c r="F327" s="546">
        <v>5</v>
      </c>
      <c r="G327" s="280"/>
      <c r="H327" s="548">
        <v>156</v>
      </c>
      <c r="I327" s="282"/>
      <c r="J327" s="293">
        <f t="shared" si="9"/>
        <v>780</v>
      </c>
      <c r="K327" s="549"/>
      <c r="L327" s="527"/>
      <c r="M327" s="526"/>
      <c r="N327" s="526"/>
      <c r="O327" s="528"/>
      <c r="P327" s="526"/>
    </row>
    <row r="328" spans="2:16" s="461" customFormat="1">
      <c r="B328" s="518">
        <f t="shared" si="10"/>
        <v>31</v>
      </c>
      <c r="C328" s="261" t="s">
        <v>612</v>
      </c>
      <c r="D328" s="261" t="s">
        <v>612</v>
      </c>
      <c r="E328" s="546" t="s">
        <v>1965</v>
      </c>
      <c r="F328" s="546">
        <v>800</v>
      </c>
      <c r="G328" s="280"/>
      <c r="H328" s="548">
        <v>26.75</v>
      </c>
      <c r="I328" s="282"/>
      <c r="J328" s="293">
        <f t="shared" si="9"/>
        <v>21400</v>
      </c>
      <c r="K328" s="549"/>
      <c r="L328" s="527"/>
      <c r="M328" s="526"/>
      <c r="N328" s="526"/>
      <c r="O328" s="528"/>
      <c r="P328" s="526"/>
    </row>
    <row r="329" spans="2:16" s="461" customFormat="1">
      <c r="B329" s="518">
        <f t="shared" si="10"/>
        <v>32</v>
      </c>
      <c r="C329" s="261" t="s">
        <v>613</v>
      </c>
      <c r="D329" s="261" t="s">
        <v>613</v>
      </c>
      <c r="E329" s="546" t="s">
        <v>1965</v>
      </c>
      <c r="F329" s="546">
        <v>500</v>
      </c>
      <c r="G329" s="280"/>
      <c r="H329" s="548">
        <v>2.76</v>
      </c>
      <c r="I329" s="282"/>
      <c r="J329" s="293">
        <f t="shared" si="9"/>
        <v>1380</v>
      </c>
      <c r="K329" s="549"/>
      <c r="L329" s="527"/>
      <c r="M329" s="526"/>
      <c r="N329" s="526"/>
      <c r="O329" s="528"/>
      <c r="P329" s="526"/>
    </row>
    <row r="330" spans="2:16" s="461" customFormat="1">
      <c r="B330" s="518">
        <f t="shared" si="10"/>
        <v>33</v>
      </c>
      <c r="C330" s="261" t="s">
        <v>614</v>
      </c>
      <c r="D330" s="261" t="s">
        <v>614</v>
      </c>
      <c r="E330" s="546" t="s">
        <v>1965</v>
      </c>
      <c r="F330" s="546">
        <v>6000</v>
      </c>
      <c r="G330" s="280"/>
      <c r="H330" s="548">
        <v>1.95</v>
      </c>
      <c r="I330" s="282"/>
      <c r="J330" s="293">
        <f t="shared" si="9"/>
        <v>11700</v>
      </c>
      <c r="K330" s="549"/>
      <c r="L330" s="527"/>
      <c r="M330" s="526"/>
      <c r="N330" s="526"/>
      <c r="O330" s="528"/>
      <c r="P330" s="526"/>
    </row>
    <row r="331" spans="2:16" s="461" customFormat="1">
      <c r="B331" s="518">
        <f t="shared" si="10"/>
        <v>34</v>
      </c>
      <c r="C331" s="261" t="s">
        <v>615</v>
      </c>
      <c r="D331" s="261" t="s">
        <v>615</v>
      </c>
      <c r="E331" s="546" t="s">
        <v>1965</v>
      </c>
      <c r="F331" s="546">
        <v>8000</v>
      </c>
      <c r="G331" s="280"/>
      <c r="H331" s="548">
        <v>2.0499999999999998</v>
      </c>
      <c r="I331" s="282"/>
      <c r="J331" s="293">
        <f t="shared" si="9"/>
        <v>16400</v>
      </c>
      <c r="K331" s="549"/>
      <c r="L331" s="527"/>
      <c r="M331" s="526"/>
      <c r="N331" s="526"/>
      <c r="O331" s="528"/>
      <c r="P331" s="526"/>
    </row>
    <row r="332" spans="2:16" s="461" customFormat="1">
      <c r="B332" s="518">
        <f t="shared" si="10"/>
        <v>35</v>
      </c>
      <c r="C332" s="261" t="s">
        <v>616</v>
      </c>
      <c r="D332" s="261" t="s">
        <v>616</v>
      </c>
      <c r="E332" s="546" t="s">
        <v>1965</v>
      </c>
      <c r="F332" s="546">
        <v>3000</v>
      </c>
      <c r="G332" s="280"/>
      <c r="H332" s="548">
        <v>2.8</v>
      </c>
      <c r="I332" s="282"/>
      <c r="J332" s="293">
        <f t="shared" si="9"/>
        <v>8400</v>
      </c>
      <c r="K332" s="549"/>
      <c r="L332" s="527"/>
      <c r="M332" s="526"/>
      <c r="N332" s="526"/>
      <c r="O332" s="528"/>
      <c r="P332" s="526"/>
    </row>
    <row r="333" spans="2:16" s="343" customFormat="1">
      <c r="B333" s="518">
        <f t="shared" si="10"/>
        <v>36</v>
      </c>
      <c r="C333" s="261" t="s">
        <v>617</v>
      </c>
      <c r="D333" s="261" t="s">
        <v>617</v>
      </c>
      <c r="E333" s="546" t="s">
        <v>1965</v>
      </c>
      <c r="F333" s="546">
        <v>1000</v>
      </c>
      <c r="G333" s="280"/>
      <c r="H333" s="548">
        <v>3.95</v>
      </c>
      <c r="I333" s="282"/>
      <c r="J333" s="293">
        <f t="shared" si="9"/>
        <v>3950</v>
      </c>
      <c r="K333" s="549"/>
      <c r="L333" s="527"/>
      <c r="M333" s="526"/>
      <c r="N333" s="526"/>
      <c r="O333" s="528"/>
      <c r="P333" s="526"/>
    </row>
    <row r="334" spans="2:16" s="343" customFormat="1">
      <c r="B334" s="518">
        <f t="shared" si="10"/>
        <v>37</v>
      </c>
      <c r="C334" s="261" t="s">
        <v>618</v>
      </c>
      <c r="D334" s="261" t="s">
        <v>618</v>
      </c>
      <c r="E334" s="546" t="s">
        <v>1965</v>
      </c>
      <c r="F334" s="546">
        <v>50</v>
      </c>
      <c r="G334" s="280"/>
      <c r="H334" s="548">
        <v>30</v>
      </c>
      <c r="I334" s="282"/>
      <c r="J334" s="293">
        <f t="shared" si="9"/>
        <v>1500</v>
      </c>
      <c r="K334" s="549"/>
      <c r="L334" s="527"/>
      <c r="M334" s="526"/>
      <c r="N334" s="526"/>
      <c r="O334" s="528"/>
      <c r="P334" s="526"/>
    </row>
    <row r="335" spans="2:16" s="343" customFormat="1">
      <c r="B335" s="518">
        <f t="shared" si="10"/>
        <v>38</v>
      </c>
      <c r="C335" s="550" t="s">
        <v>619</v>
      </c>
      <c r="D335" s="550" t="s">
        <v>619</v>
      </c>
      <c r="E335" s="551" t="s">
        <v>1965</v>
      </c>
      <c r="F335" s="552">
        <v>10</v>
      </c>
      <c r="G335" s="280"/>
      <c r="H335" s="548">
        <v>35.31</v>
      </c>
      <c r="I335" s="282"/>
      <c r="J335" s="293">
        <f t="shared" si="9"/>
        <v>353.1</v>
      </c>
      <c r="K335" s="549"/>
      <c r="L335" s="527"/>
      <c r="M335" s="526"/>
      <c r="N335" s="526"/>
      <c r="O335" s="528"/>
      <c r="P335" s="526"/>
    </row>
    <row r="336" spans="2:16" s="343" customFormat="1">
      <c r="B336" s="518">
        <f t="shared" si="10"/>
        <v>39</v>
      </c>
      <c r="C336" s="261" t="s">
        <v>620</v>
      </c>
      <c r="D336" s="261" t="s">
        <v>620</v>
      </c>
      <c r="E336" s="546" t="s">
        <v>1965</v>
      </c>
      <c r="F336" s="547">
        <v>30</v>
      </c>
      <c r="G336" s="280"/>
      <c r="H336" s="548">
        <v>32.1</v>
      </c>
      <c r="I336" s="282"/>
      <c r="J336" s="293">
        <f t="shared" si="9"/>
        <v>963</v>
      </c>
      <c r="K336" s="549"/>
      <c r="L336" s="527"/>
      <c r="M336" s="526"/>
      <c r="N336" s="526"/>
      <c r="O336" s="528"/>
      <c r="P336" s="526"/>
    </row>
    <row r="337" spans="2:16" s="343" customFormat="1">
      <c r="B337" s="518">
        <f t="shared" si="10"/>
        <v>40</v>
      </c>
      <c r="C337" s="261" t="s">
        <v>621</v>
      </c>
      <c r="D337" s="261" t="s">
        <v>621</v>
      </c>
      <c r="E337" s="546" t="s">
        <v>1965</v>
      </c>
      <c r="F337" s="547">
        <v>40</v>
      </c>
      <c r="G337" s="280"/>
      <c r="H337" s="548">
        <v>32.1</v>
      </c>
      <c r="I337" s="282"/>
      <c r="J337" s="293">
        <f t="shared" si="9"/>
        <v>1284</v>
      </c>
      <c r="K337" s="549"/>
      <c r="L337" s="527"/>
      <c r="M337" s="526"/>
      <c r="N337" s="526"/>
      <c r="O337" s="528"/>
      <c r="P337" s="526"/>
    </row>
    <row r="338" spans="2:16" s="343" customFormat="1">
      <c r="B338" s="518">
        <f t="shared" si="10"/>
        <v>41</v>
      </c>
      <c r="C338" s="261" t="s">
        <v>622</v>
      </c>
      <c r="D338" s="261" t="s">
        <v>622</v>
      </c>
      <c r="E338" s="546" t="s">
        <v>1965</v>
      </c>
      <c r="F338" s="547">
        <v>30</v>
      </c>
      <c r="G338" s="280"/>
      <c r="H338" s="548">
        <v>32.1</v>
      </c>
      <c r="I338" s="282"/>
      <c r="J338" s="293">
        <f t="shared" si="9"/>
        <v>963</v>
      </c>
      <c r="K338" s="549"/>
      <c r="L338" s="527"/>
      <c r="M338" s="526"/>
      <c r="N338" s="526"/>
      <c r="O338" s="528"/>
      <c r="P338" s="526"/>
    </row>
    <row r="339" spans="2:16" s="343" customFormat="1">
      <c r="B339" s="518">
        <f t="shared" si="10"/>
        <v>42</v>
      </c>
      <c r="C339" s="261" t="s">
        <v>623</v>
      </c>
      <c r="D339" s="261" t="s">
        <v>623</v>
      </c>
      <c r="E339" s="546" t="s">
        <v>1965</v>
      </c>
      <c r="F339" s="547">
        <v>40</v>
      </c>
      <c r="G339" s="280"/>
      <c r="H339" s="548">
        <v>32.1</v>
      </c>
      <c r="I339" s="282"/>
      <c r="J339" s="293">
        <f t="shared" si="9"/>
        <v>1284</v>
      </c>
      <c r="K339" s="549"/>
      <c r="L339" s="527"/>
      <c r="M339" s="526"/>
      <c r="N339" s="526"/>
      <c r="O339" s="528"/>
      <c r="P339" s="526"/>
    </row>
    <row r="340" spans="2:16" s="343" customFormat="1">
      <c r="B340" s="518">
        <f t="shared" si="10"/>
        <v>43</v>
      </c>
      <c r="C340" s="261" t="s">
        <v>624</v>
      </c>
      <c r="D340" s="261" t="s">
        <v>624</v>
      </c>
      <c r="E340" s="546" t="s">
        <v>1965</v>
      </c>
      <c r="F340" s="547">
        <v>30</v>
      </c>
      <c r="G340" s="280"/>
      <c r="H340" s="548">
        <v>29.96</v>
      </c>
      <c r="I340" s="282"/>
      <c r="J340" s="293">
        <f t="shared" si="9"/>
        <v>898.80000000000007</v>
      </c>
      <c r="K340" s="549"/>
      <c r="L340" s="527"/>
      <c r="M340" s="526"/>
      <c r="N340" s="526"/>
      <c r="O340" s="528"/>
      <c r="P340" s="526"/>
    </row>
    <row r="341" spans="2:16" s="343" customFormat="1">
      <c r="B341" s="518">
        <f t="shared" si="10"/>
        <v>44</v>
      </c>
      <c r="C341" s="261" t="s">
        <v>625</v>
      </c>
      <c r="D341" s="261" t="s">
        <v>625</v>
      </c>
      <c r="E341" s="546" t="s">
        <v>1965</v>
      </c>
      <c r="F341" s="547">
        <v>30</v>
      </c>
      <c r="G341" s="280"/>
      <c r="H341" s="548">
        <v>29.96</v>
      </c>
      <c r="I341" s="282"/>
      <c r="J341" s="293">
        <f t="shared" si="9"/>
        <v>898.80000000000007</v>
      </c>
      <c r="K341" s="549"/>
      <c r="L341" s="527"/>
      <c r="M341" s="526"/>
      <c r="N341" s="526"/>
      <c r="O341" s="528"/>
      <c r="P341" s="526"/>
    </row>
    <row r="342" spans="2:16" s="343" customFormat="1">
      <c r="B342" s="518">
        <f t="shared" si="10"/>
        <v>45</v>
      </c>
      <c r="C342" s="261" t="s">
        <v>626</v>
      </c>
      <c r="D342" s="261" t="s">
        <v>626</v>
      </c>
      <c r="E342" s="546" t="s">
        <v>1965</v>
      </c>
      <c r="F342" s="547">
        <v>30</v>
      </c>
      <c r="G342" s="280"/>
      <c r="H342" s="548">
        <v>29.96</v>
      </c>
      <c r="I342" s="282"/>
      <c r="J342" s="293">
        <f t="shared" si="9"/>
        <v>898.80000000000007</v>
      </c>
      <c r="K342" s="549"/>
      <c r="L342" s="527"/>
      <c r="M342" s="526"/>
      <c r="N342" s="526"/>
      <c r="O342" s="528"/>
      <c r="P342" s="526"/>
    </row>
    <row r="343" spans="2:16" s="343" customFormat="1">
      <c r="B343" s="518">
        <f t="shared" si="10"/>
        <v>46</v>
      </c>
      <c r="C343" s="261" t="s">
        <v>627</v>
      </c>
      <c r="D343" s="261" t="s">
        <v>627</v>
      </c>
      <c r="E343" s="546" t="s">
        <v>1965</v>
      </c>
      <c r="F343" s="547">
        <v>70</v>
      </c>
      <c r="G343" s="280"/>
      <c r="H343" s="548">
        <v>92.02</v>
      </c>
      <c r="I343" s="282"/>
      <c r="J343" s="293">
        <f t="shared" si="9"/>
        <v>6441.4</v>
      </c>
      <c r="K343" s="549"/>
      <c r="L343" s="527"/>
      <c r="M343" s="526"/>
      <c r="N343" s="526"/>
      <c r="O343" s="528"/>
      <c r="P343" s="526"/>
    </row>
    <row r="344" spans="2:16" s="343" customFormat="1">
      <c r="B344" s="518">
        <f t="shared" si="10"/>
        <v>47</v>
      </c>
      <c r="C344" s="261" t="s">
        <v>628</v>
      </c>
      <c r="D344" s="261" t="s">
        <v>628</v>
      </c>
      <c r="E344" s="546" t="s">
        <v>1965</v>
      </c>
      <c r="F344" s="547">
        <v>80</v>
      </c>
      <c r="G344" s="280"/>
      <c r="H344" s="548">
        <v>92.02</v>
      </c>
      <c r="I344" s="282"/>
      <c r="J344" s="293">
        <f t="shared" si="9"/>
        <v>7361.5999999999995</v>
      </c>
      <c r="K344" s="549"/>
      <c r="L344" s="527"/>
      <c r="M344" s="526"/>
      <c r="N344" s="526"/>
      <c r="O344" s="528"/>
      <c r="P344" s="526"/>
    </row>
    <row r="345" spans="2:16" s="343" customFormat="1">
      <c r="B345" s="518">
        <f t="shared" si="10"/>
        <v>48</v>
      </c>
      <c r="C345" s="261" t="s">
        <v>629</v>
      </c>
      <c r="D345" s="261" t="s">
        <v>629</v>
      </c>
      <c r="E345" s="546" t="s">
        <v>1965</v>
      </c>
      <c r="F345" s="547">
        <v>30</v>
      </c>
      <c r="G345" s="280"/>
      <c r="H345" s="548">
        <v>94.16</v>
      </c>
      <c r="I345" s="282"/>
      <c r="J345" s="293">
        <f t="shared" si="9"/>
        <v>2824.7999999999997</v>
      </c>
      <c r="K345" s="549"/>
      <c r="L345" s="527"/>
      <c r="M345" s="526"/>
      <c r="N345" s="526"/>
      <c r="O345" s="528"/>
      <c r="P345" s="526"/>
    </row>
    <row r="346" spans="2:16" s="343" customFormat="1">
      <c r="B346" s="518">
        <f t="shared" si="10"/>
        <v>49</v>
      </c>
      <c r="C346" s="261" t="s">
        <v>56</v>
      </c>
      <c r="D346" s="261" t="s">
        <v>56</v>
      </c>
      <c r="E346" s="546" t="s">
        <v>1965</v>
      </c>
      <c r="F346" s="547">
        <v>100</v>
      </c>
      <c r="G346" s="554"/>
      <c r="H346" s="280">
        <v>94.16</v>
      </c>
      <c r="I346" s="553"/>
      <c r="J346" s="520">
        <f t="shared" si="9"/>
        <v>9416</v>
      </c>
      <c r="K346" s="549"/>
      <c r="L346" s="527"/>
      <c r="M346" s="526"/>
      <c r="N346" s="526"/>
      <c r="O346" s="528"/>
      <c r="P346" s="526"/>
    </row>
    <row r="347" spans="2:16" s="343" customFormat="1">
      <c r="B347" s="518">
        <f t="shared" si="10"/>
        <v>50</v>
      </c>
      <c r="C347" s="261" t="s">
        <v>57</v>
      </c>
      <c r="D347" s="261" t="s">
        <v>57</v>
      </c>
      <c r="E347" s="546" t="s">
        <v>1965</v>
      </c>
      <c r="F347" s="547">
        <v>100</v>
      </c>
      <c r="G347" s="554"/>
      <c r="H347" s="280">
        <v>94.16</v>
      </c>
      <c r="I347" s="553"/>
      <c r="J347" s="520">
        <f t="shared" si="9"/>
        <v>9416</v>
      </c>
      <c r="K347" s="549"/>
      <c r="L347" s="527"/>
      <c r="M347" s="526"/>
      <c r="N347" s="526"/>
      <c r="O347" s="528"/>
      <c r="P347" s="526"/>
    </row>
    <row r="348" spans="2:16" s="343" customFormat="1">
      <c r="B348" s="518">
        <f t="shared" si="10"/>
        <v>51</v>
      </c>
      <c r="C348" s="261" t="s">
        <v>630</v>
      </c>
      <c r="D348" s="261" t="s">
        <v>630</v>
      </c>
      <c r="E348" s="546" t="s">
        <v>1965</v>
      </c>
      <c r="F348" s="547">
        <v>10</v>
      </c>
      <c r="G348" s="280"/>
      <c r="H348" s="548">
        <v>80.25</v>
      </c>
      <c r="I348" s="282"/>
      <c r="J348" s="293">
        <f t="shared" si="9"/>
        <v>802.5</v>
      </c>
      <c r="K348" s="549"/>
      <c r="L348" s="527"/>
      <c r="M348" s="526"/>
      <c r="N348" s="526"/>
      <c r="O348" s="528"/>
      <c r="P348" s="526"/>
    </row>
    <row r="349" spans="2:16" s="343" customFormat="1" ht="26.25">
      <c r="B349" s="518">
        <f t="shared" si="10"/>
        <v>52</v>
      </c>
      <c r="C349" s="261" t="s">
        <v>631</v>
      </c>
      <c r="D349" s="261" t="s">
        <v>631</v>
      </c>
      <c r="E349" s="546" t="s">
        <v>548</v>
      </c>
      <c r="F349" s="547">
        <v>10</v>
      </c>
      <c r="G349" s="280"/>
      <c r="H349" s="548">
        <v>1177</v>
      </c>
      <c r="I349" s="282"/>
      <c r="J349" s="293">
        <f t="shared" si="9"/>
        <v>11770</v>
      </c>
      <c r="K349" s="549"/>
      <c r="L349" s="527"/>
      <c r="M349" s="526"/>
      <c r="N349" s="526"/>
      <c r="O349" s="528"/>
      <c r="P349" s="526"/>
    </row>
    <row r="350" spans="2:16" s="343" customFormat="1">
      <c r="B350" s="518">
        <f t="shared" si="10"/>
        <v>53</v>
      </c>
      <c r="C350" s="261" t="s">
        <v>58</v>
      </c>
      <c r="D350" s="261" t="s">
        <v>58</v>
      </c>
      <c r="E350" s="546" t="s">
        <v>1965</v>
      </c>
      <c r="F350" s="547">
        <v>30</v>
      </c>
      <c r="G350" s="280"/>
      <c r="H350" s="548">
        <v>615.25</v>
      </c>
      <c r="I350" s="282"/>
      <c r="J350" s="293">
        <f t="shared" si="9"/>
        <v>18457.5</v>
      </c>
      <c r="K350" s="549"/>
      <c r="L350" s="527"/>
      <c r="M350" s="526"/>
      <c r="N350" s="526"/>
      <c r="O350" s="528"/>
      <c r="P350" s="526"/>
    </row>
    <row r="351" spans="2:16" s="343" customFormat="1">
      <c r="B351" s="518">
        <f t="shared" si="10"/>
        <v>54</v>
      </c>
      <c r="C351" s="261" t="s">
        <v>632</v>
      </c>
      <c r="D351" s="261" t="s">
        <v>632</v>
      </c>
      <c r="E351" s="546" t="s">
        <v>1965</v>
      </c>
      <c r="F351" s="547">
        <v>100</v>
      </c>
      <c r="G351" s="280"/>
      <c r="H351" s="548">
        <v>39.590000000000003</v>
      </c>
      <c r="I351" s="282"/>
      <c r="J351" s="293">
        <f t="shared" si="9"/>
        <v>3959.0000000000005</v>
      </c>
      <c r="K351" s="549"/>
      <c r="L351" s="527"/>
      <c r="M351" s="526"/>
      <c r="N351" s="526"/>
      <c r="O351" s="528"/>
      <c r="P351" s="526"/>
    </row>
    <row r="352" spans="2:16" s="343" customFormat="1">
      <c r="B352" s="518">
        <f t="shared" si="10"/>
        <v>55</v>
      </c>
      <c r="C352" s="261" t="s">
        <v>633</v>
      </c>
      <c r="D352" s="261" t="s">
        <v>633</v>
      </c>
      <c r="E352" s="546" t="s">
        <v>1965</v>
      </c>
      <c r="F352" s="547">
        <v>30</v>
      </c>
      <c r="G352" s="280"/>
      <c r="H352" s="548">
        <v>99.51</v>
      </c>
      <c r="I352" s="282"/>
      <c r="J352" s="293">
        <f t="shared" si="9"/>
        <v>2985.3</v>
      </c>
      <c r="K352" s="549"/>
      <c r="L352" s="527"/>
      <c r="M352" s="526"/>
      <c r="N352" s="526"/>
      <c r="O352" s="528"/>
      <c r="P352" s="526"/>
    </row>
    <row r="353" spans="2:16" s="343" customFormat="1" ht="26.25">
      <c r="B353" s="518">
        <f t="shared" si="10"/>
        <v>56</v>
      </c>
      <c r="C353" s="261" t="s">
        <v>59</v>
      </c>
      <c r="D353" s="261" t="s">
        <v>59</v>
      </c>
      <c r="E353" s="546" t="s">
        <v>1965</v>
      </c>
      <c r="F353" s="546">
        <v>20</v>
      </c>
      <c r="G353" s="280"/>
      <c r="H353" s="548">
        <v>103.79</v>
      </c>
      <c r="I353" s="282"/>
      <c r="J353" s="293">
        <f t="shared" si="9"/>
        <v>2075.8000000000002</v>
      </c>
      <c r="K353" s="549"/>
      <c r="L353" s="527"/>
      <c r="M353" s="526"/>
      <c r="N353" s="526"/>
      <c r="O353" s="528"/>
      <c r="P353" s="526"/>
    </row>
    <row r="354" spans="2:16" s="343" customFormat="1">
      <c r="B354" s="518">
        <f t="shared" si="10"/>
        <v>57</v>
      </c>
      <c r="C354" s="261" t="s">
        <v>60</v>
      </c>
      <c r="D354" s="261" t="s">
        <v>60</v>
      </c>
      <c r="E354" s="546" t="s">
        <v>1965</v>
      </c>
      <c r="F354" s="546">
        <v>20</v>
      </c>
      <c r="G354" s="280"/>
      <c r="H354" s="548">
        <v>88.81</v>
      </c>
      <c r="I354" s="282"/>
      <c r="J354" s="293">
        <f t="shared" si="9"/>
        <v>1776.2</v>
      </c>
      <c r="K354" s="549"/>
      <c r="L354" s="527"/>
      <c r="M354" s="526"/>
      <c r="N354" s="526"/>
      <c r="O354" s="528"/>
      <c r="P354" s="526"/>
    </row>
    <row r="355" spans="2:16" s="343" customFormat="1">
      <c r="B355" s="518">
        <f t="shared" si="10"/>
        <v>58</v>
      </c>
      <c r="C355" s="261" t="s">
        <v>61</v>
      </c>
      <c r="D355" s="261" t="s">
        <v>61</v>
      </c>
      <c r="E355" s="546" t="s">
        <v>1965</v>
      </c>
      <c r="F355" s="546">
        <v>20</v>
      </c>
      <c r="G355" s="280"/>
      <c r="H355" s="548">
        <v>59.92</v>
      </c>
      <c r="I355" s="282"/>
      <c r="J355" s="293">
        <f t="shared" si="9"/>
        <v>1198.4000000000001</v>
      </c>
      <c r="K355" s="549"/>
      <c r="L355" s="527"/>
      <c r="M355" s="526"/>
      <c r="N355" s="526"/>
      <c r="O355" s="528"/>
      <c r="P355" s="526"/>
    </row>
    <row r="356" spans="2:16" s="343" customFormat="1" ht="26.25">
      <c r="B356" s="518">
        <f t="shared" si="10"/>
        <v>59</v>
      </c>
      <c r="C356" s="261" t="s">
        <v>62</v>
      </c>
      <c r="D356" s="261" t="s">
        <v>62</v>
      </c>
      <c r="E356" s="546" t="s">
        <v>1965</v>
      </c>
      <c r="F356" s="546">
        <v>500</v>
      </c>
      <c r="G356" s="280"/>
      <c r="H356" s="548">
        <v>57.78</v>
      </c>
      <c r="I356" s="282"/>
      <c r="J356" s="293">
        <f t="shared" si="9"/>
        <v>28890</v>
      </c>
      <c r="K356" s="549"/>
      <c r="L356" s="527"/>
      <c r="M356" s="526"/>
      <c r="N356" s="526"/>
      <c r="O356" s="528"/>
      <c r="P356" s="526"/>
    </row>
    <row r="357" spans="2:16" s="343" customFormat="1">
      <c r="B357" s="518">
        <f t="shared" si="10"/>
        <v>60</v>
      </c>
      <c r="C357" s="261" t="s">
        <v>63</v>
      </c>
      <c r="D357" s="261" t="s">
        <v>63</v>
      </c>
      <c r="E357" s="546" t="s">
        <v>1965</v>
      </c>
      <c r="F357" s="546">
        <v>300</v>
      </c>
      <c r="G357" s="280"/>
      <c r="H357" s="548">
        <v>171.2</v>
      </c>
      <c r="I357" s="282"/>
      <c r="J357" s="293">
        <f t="shared" si="9"/>
        <v>51360</v>
      </c>
      <c r="K357" s="549"/>
      <c r="L357" s="527"/>
      <c r="M357" s="526"/>
      <c r="N357" s="526"/>
      <c r="O357" s="528"/>
      <c r="P357" s="526"/>
    </row>
    <row r="358" spans="2:16" s="343" customFormat="1" ht="26.25">
      <c r="B358" s="518">
        <f t="shared" si="10"/>
        <v>61</v>
      </c>
      <c r="C358" s="261" t="s">
        <v>64</v>
      </c>
      <c r="D358" s="261" t="s">
        <v>64</v>
      </c>
      <c r="E358" s="546" t="s">
        <v>1965</v>
      </c>
      <c r="F358" s="546">
        <v>24</v>
      </c>
      <c r="G358" s="280"/>
      <c r="H358" s="548">
        <v>28.89</v>
      </c>
      <c r="I358" s="282"/>
      <c r="J358" s="293">
        <f t="shared" si="9"/>
        <v>693.36</v>
      </c>
      <c r="K358" s="549"/>
      <c r="L358" s="527"/>
      <c r="M358" s="526"/>
      <c r="N358" s="526"/>
      <c r="O358" s="528"/>
      <c r="P358" s="526"/>
    </row>
    <row r="359" spans="2:16" s="343" customFormat="1" ht="26.25">
      <c r="B359" s="518">
        <f t="shared" si="10"/>
        <v>62</v>
      </c>
      <c r="C359" s="261" t="s">
        <v>65</v>
      </c>
      <c r="D359" s="261" t="s">
        <v>65</v>
      </c>
      <c r="E359" s="546" t="s">
        <v>1965</v>
      </c>
      <c r="F359" s="546">
        <v>200</v>
      </c>
      <c r="G359" s="280"/>
      <c r="H359" s="548">
        <v>28.89</v>
      </c>
      <c r="I359" s="282"/>
      <c r="J359" s="293">
        <f t="shared" si="9"/>
        <v>5778</v>
      </c>
      <c r="K359" s="549"/>
      <c r="L359" s="527"/>
      <c r="M359" s="526"/>
      <c r="N359" s="526"/>
      <c r="O359" s="528"/>
      <c r="P359" s="526"/>
    </row>
    <row r="360" spans="2:16" s="343" customFormat="1" ht="26.25">
      <c r="B360" s="518">
        <f t="shared" si="10"/>
        <v>63</v>
      </c>
      <c r="C360" s="261" t="s">
        <v>66</v>
      </c>
      <c r="D360" s="261" t="s">
        <v>66</v>
      </c>
      <c r="E360" s="546" t="s">
        <v>1965</v>
      </c>
      <c r="F360" s="546">
        <v>200</v>
      </c>
      <c r="G360" s="280"/>
      <c r="H360" s="548">
        <v>28.89</v>
      </c>
      <c r="I360" s="282"/>
      <c r="J360" s="293">
        <f t="shared" si="9"/>
        <v>5778</v>
      </c>
      <c r="K360" s="549"/>
      <c r="L360" s="527"/>
      <c r="M360" s="526"/>
      <c r="N360" s="526"/>
      <c r="O360" s="528"/>
      <c r="P360" s="526"/>
    </row>
    <row r="361" spans="2:16" s="343" customFormat="1" ht="26.25">
      <c r="B361" s="518">
        <f t="shared" si="10"/>
        <v>64</v>
      </c>
      <c r="C361" s="261" t="s">
        <v>67</v>
      </c>
      <c r="D361" s="261" t="s">
        <v>67</v>
      </c>
      <c r="E361" s="546" t="s">
        <v>1965</v>
      </c>
      <c r="F361" s="546">
        <v>200</v>
      </c>
      <c r="G361" s="280"/>
      <c r="H361" s="548">
        <v>28.89</v>
      </c>
      <c r="I361" s="282"/>
      <c r="J361" s="293">
        <f t="shared" si="9"/>
        <v>5778</v>
      </c>
      <c r="K361" s="549"/>
      <c r="L361" s="527"/>
      <c r="M361" s="526"/>
      <c r="N361" s="526"/>
      <c r="O361" s="528"/>
      <c r="P361" s="526"/>
    </row>
    <row r="362" spans="2:16" s="343" customFormat="1" ht="26.25">
      <c r="B362" s="518">
        <f t="shared" si="10"/>
        <v>65</v>
      </c>
      <c r="C362" s="261" t="s">
        <v>68</v>
      </c>
      <c r="D362" s="261" t="s">
        <v>68</v>
      </c>
      <c r="E362" s="546" t="s">
        <v>1965</v>
      </c>
      <c r="F362" s="546">
        <v>10</v>
      </c>
      <c r="G362" s="280"/>
      <c r="H362" s="548">
        <v>114.49</v>
      </c>
      <c r="I362" s="282"/>
      <c r="J362" s="293">
        <f t="shared" si="9"/>
        <v>1144.8999999999999</v>
      </c>
      <c r="K362" s="549"/>
      <c r="L362" s="527"/>
      <c r="M362" s="526"/>
      <c r="N362" s="526"/>
      <c r="O362" s="528"/>
      <c r="P362" s="526"/>
    </row>
    <row r="363" spans="2:16" s="343" customFormat="1" ht="26.25">
      <c r="B363" s="518">
        <f t="shared" si="10"/>
        <v>66</v>
      </c>
      <c r="C363" s="261" t="s">
        <v>634</v>
      </c>
      <c r="D363" s="261" t="s">
        <v>634</v>
      </c>
      <c r="E363" s="546" t="s">
        <v>548</v>
      </c>
      <c r="F363" s="546">
        <v>10</v>
      </c>
      <c r="G363" s="280"/>
      <c r="H363" s="548">
        <v>298.52999999999997</v>
      </c>
      <c r="I363" s="282"/>
      <c r="J363" s="293">
        <f t="shared" ref="J363:J420" si="11">F363*H363</f>
        <v>2985.2999999999997</v>
      </c>
      <c r="K363" s="549"/>
      <c r="L363" s="527"/>
      <c r="M363" s="526"/>
      <c r="N363" s="526"/>
      <c r="O363" s="528"/>
      <c r="P363" s="526"/>
    </row>
    <row r="364" spans="2:16" s="343" customFormat="1" ht="26.25">
      <c r="B364" s="518">
        <f t="shared" ref="B364:B419" si="12">1+B363</f>
        <v>67</v>
      </c>
      <c r="C364" s="261" t="s">
        <v>635</v>
      </c>
      <c r="D364" s="261" t="s">
        <v>635</v>
      </c>
      <c r="E364" s="546" t="s">
        <v>548</v>
      </c>
      <c r="F364" s="546">
        <v>10</v>
      </c>
      <c r="G364" s="280"/>
      <c r="H364" s="548">
        <v>298.52999999999997</v>
      </c>
      <c r="I364" s="282"/>
      <c r="J364" s="293">
        <f t="shared" si="11"/>
        <v>2985.2999999999997</v>
      </c>
      <c r="K364" s="549"/>
      <c r="L364" s="527"/>
      <c r="M364" s="526"/>
      <c r="N364" s="526"/>
      <c r="O364" s="528"/>
      <c r="P364" s="526"/>
    </row>
    <row r="365" spans="2:16" s="343" customFormat="1" ht="26.25">
      <c r="B365" s="518">
        <f t="shared" si="12"/>
        <v>68</v>
      </c>
      <c r="C365" s="261" t="s">
        <v>636</v>
      </c>
      <c r="D365" s="261" t="s">
        <v>636</v>
      </c>
      <c r="E365" s="546" t="s">
        <v>548</v>
      </c>
      <c r="F365" s="546">
        <v>10</v>
      </c>
      <c r="G365" s="280"/>
      <c r="H365" s="548">
        <v>298.52999999999997</v>
      </c>
      <c r="I365" s="282"/>
      <c r="J365" s="293">
        <f t="shared" si="11"/>
        <v>2985.2999999999997</v>
      </c>
      <c r="K365" s="549"/>
      <c r="L365" s="527"/>
      <c r="M365" s="526"/>
      <c r="N365" s="526"/>
      <c r="O365" s="528"/>
      <c r="P365" s="526"/>
    </row>
    <row r="366" spans="2:16" s="343" customFormat="1" ht="26.25">
      <c r="B366" s="518">
        <f t="shared" si="12"/>
        <v>69</v>
      </c>
      <c r="C366" s="261" t="s">
        <v>732</v>
      </c>
      <c r="D366" s="261" t="s">
        <v>732</v>
      </c>
      <c r="E366" s="546" t="s">
        <v>548</v>
      </c>
      <c r="F366" s="546">
        <v>10</v>
      </c>
      <c r="G366" s="280"/>
      <c r="H366" s="548">
        <v>298.52999999999997</v>
      </c>
      <c r="I366" s="282"/>
      <c r="J366" s="293">
        <f t="shared" si="11"/>
        <v>2985.2999999999997</v>
      </c>
      <c r="K366" s="549"/>
      <c r="L366" s="527"/>
      <c r="M366" s="526"/>
      <c r="N366" s="526"/>
      <c r="O366" s="528"/>
      <c r="P366" s="526"/>
    </row>
    <row r="367" spans="2:16" s="343" customFormat="1">
      <c r="B367" s="518">
        <f t="shared" si="12"/>
        <v>70</v>
      </c>
      <c r="C367" s="261" t="s">
        <v>637</v>
      </c>
      <c r="D367" s="261" t="s">
        <v>637</v>
      </c>
      <c r="E367" s="546" t="s">
        <v>1965</v>
      </c>
      <c r="F367" s="546">
        <v>50</v>
      </c>
      <c r="G367" s="280"/>
      <c r="H367" s="548">
        <v>41.73</v>
      </c>
      <c r="I367" s="282"/>
      <c r="J367" s="293">
        <f t="shared" si="11"/>
        <v>2086.5</v>
      </c>
      <c r="K367" s="549"/>
      <c r="L367" s="527"/>
      <c r="M367" s="526"/>
      <c r="N367" s="526"/>
      <c r="O367" s="528"/>
      <c r="P367" s="526"/>
    </row>
    <row r="368" spans="2:16" s="343" customFormat="1">
      <c r="B368" s="518">
        <f t="shared" si="12"/>
        <v>71</v>
      </c>
      <c r="C368" s="261" t="s">
        <v>638</v>
      </c>
      <c r="D368" s="261" t="s">
        <v>638</v>
      </c>
      <c r="E368" s="546" t="s">
        <v>1965</v>
      </c>
      <c r="F368" s="546">
        <v>50</v>
      </c>
      <c r="G368" s="280"/>
      <c r="H368" s="548">
        <v>41.73</v>
      </c>
      <c r="I368" s="282"/>
      <c r="J368" s="293">
        <f t="shared" si="11"/>
        <v>2086.5</v>
      </c>
      <c r="K368" s="549"/>
      <c r="L368" s="527"/>
      <c r="M368" s="526"/>
      <c r="N368" s="526"/>
      <c r="O368" s="528"/>
      <c r="P368" s="526"/>
    </row>
    <row r="369" spans="2:16" s="343" customFormat="1">
      <c r="B369" s="518">
        <f t="shared" si="12"/>
        <v>72</v>
      </c>
      <c r="C369" s="261" t="s">
        <v>639</v>
      </c>
      <c r="D369" s="261" t="s">
        <v>639</v>
      </c>
      <c r="E369" s="546" t="s">
        <v>1965</v>
      </c>
      <c r="F369" s="546">
        <v>150</v>
      </c>
      <c r="G369" s="280"/>
      <c r="H369" s="548">
        <v>41.73</v>
      </c>
      <c r="I369" s="282"/>
      <c r="J369" s="293">
        <f t="shared" si="11"/>
        <v>6259.4999999999991</v>
      </c>
      <c r="K369" s="549"/>
      <c r="L369" s="527"/>
      <c r="M369" s="526"/>
      <c r="N369" s="526"/>
      <c r="O369" s="528"/>
      <c r="P369" s="526"/>
    </row>
    <row r="370" spans="2:16" s="355" customFormat="1">
      <c r="B370" s="518">
        <f t="shared" si="12"/>
        <v>73</v>
      </c>
      <c r="C370" s="261" t="s">
        <v>640</v>
      </c>
      <c r="D370" s="261" t="s">
        <v>640</v>
      </c>
      <c r="E370" s="546" t="s">
        <v>1965</v>
      </c>
      <c r="F370" s="546">
        <v>50</v>
      </c>
      <c r="G370" s="280"/>
      <c r="H370" s="548">
        <v>115.56</v>
      </c>
      <c r="I370" s="282"/>
      <c r="J370" s="293">
        <f t="shared" si="11"/>
        <v>5778</v>
      </c>
      <c r="K370" s="549"/>
      <c r="L370" s="527"/>
      <c r="M370" s="526"/>
      <c r="N370" s="526"/>
      <c r="O370" s="528"/>
      <c r="P370" s="526"/>
    </row>
    <row r="371" spans="2:16" s="343" customFormat="1" ht="26.25">
      <c r="B371" s="518">
        <f t="shared" si="12"/>
        <v>74</v>
      </c>
      <c r="C371" s="261" t="s">
        <v>69</v>
      </c>
      <c r="D371" s="261" t="s">
        <v>69</v>
      </c>
      <c r="E371" s="546" t="s">
        <v>1965</v>
      </c>
      <c r="F371" s="546">
        <v>100</v>
      </c>
      <c r="G371" s="280"/>
      <c r="H371" s="548">
        <v>60.99</v>
      </c>
      <c r="I371" s="282"/>
      <c r="J371" s="293">
        <f t="shared" si="11"/>
        <v>6099</v>
      </c>
      <c r="K371" s="549"/>
      <c r="L371" s="527"/>
      <c r="M371" s="526"/>
      <c r="N371" s="526"/>
      <c r="O371" s="528"/>
      <c r="P371" s="526"/>
    </row>
    <row r="372" spans="2:16" s="343" customFormat="1" ht="26.25">
      <c r="B372" s="518">
        <f t="shared" si="12"/>
        <v>75</v>
      </c>
      <c r="C372" s="261" t="s">
        <v>70</v>
      </c>
      <c r="D372" s="261" t="s">
        <v>70</v>
      </c>
      <c r="E372" s="546" t="s">
        <v>1965</v>
      </c>
      <c r="F372" s="546">
        <v>100</v>
      </c>
      <c r="G372" s="280"/>
      <c r="H372" s="548">
        <v>60.99</v>
      </c>
      <c r="I372" s="282"/>
      <c r="J372" s="293">
        <f t="shared" si="11"/>
        <v>6099</v>
      </c>
      <c r="K372" s="549"/>
      <c r="L372" s="527"/>
      <c r="M372" s="526"/>
      <c r="N372" s="526"/>
      <c r="O372" s="528"/>
      <c r="P372" s="526"/>
    </row>
    <row r="373" spans="2:16" s="343" customFormat="1">
      <c r="B373" s="518">
        <f t="shared" si="12"/>
        <v>76</v>
      </c>
      <c r="C373" s="261" t="s">
        <v>641</v>
      </c>
      <c r="D373" s="261" t="s">
        <v>641</v>
      </c>
      <c r="E373" s="546" t="s">
        <v>1965</v>
      </c>
      <c r="F373" s="546">
        <v>150</v>
      </c>
      <c r="G373" s="280"/>
      <c r="H373" s="548">
        <v>4.28</v>
      </c>
      <c r="I373" s="282"/>
      <c r="J373" s="293">
        <f t="shared" si="11"/>
        <v>642</v>
      </c>
      <c r="K373" s="549"/>
      <c r="L373" s="527"/>
      <c r="M373" s="526"/>
      <c r="N373" s="526"/>
      <c r="O373" s="528"/>
      <c r="P373" s="526"/>
    </row>
    <row r="374" spans="2:16" s="343" customFormat="1">
      <c r="B374" s="518">
        <f t="shared" si="12"/>
        <v>77</v>
      </c>
      <c r="C374" s="261" t="s">
        <v>642</v>
      </c>
      <c r="D374" s="261" t="s">
        <v>642</v>
      </c>
      <c r="E374" s="546" t="s">
        <v>1965</v>
      </c>
      <c r="F374" s="546">
        <v>3</v>
      </c>
      <c r="G374" s="280"/>
      <c r="H374" s="548">
        <v>395.9</v>
      </c>
      <c r="I374" s="282"/>
      <c r="J374" s="293">
        <f t="shared" si="11"/>
        <v>1187.6999999999998</v>
      </c>
      <c r="K374" s="549"/>
      <c r="L374" s="527"/>
      <c r="M374" s="526"/>
      <c r="N374" s="526"/>
      <c r="O374" s="528"/>
      <c r="P374" s="526"/>
    </row>
    <row r="375" spans="2:16" s="343" customFormat="1">
      <c r="B375" s="518">
        <f t="shared" si="12"/>
        <v>78</v>
      </c>
      <c r="C375" s="261" t="s">
        <v>643</v>
      </c>
      <c r="D375" s="261" t="s">
        <v>643</v>
      </c>
      <c r="E375" s="546" t="s">
        <v>1965</v>
      </c>
      <c r="F375" s="546">
        <v>150</v>
      </c>
      <c r="G375" s="280"/>
      <c r="H375" s="548">
        <v>17</v>
      </c>
      <c r="I375" s="282"/>
      <c r="J375" s="293">
        <f t="shared" si="11"/>
        <v>2550</v>
      </c>
      <c r="K375" s="549"/>
      <c r="L375" s="527"/>
      <c r="M375" s="526"/>
      <c r="N375" s="526"/>
      <c r="O375" s="528"/>
      <c r="P375" s="526"/>
    </row>
    <row r="376" spans="2:16" s="343" customFormat="1">
      <c r="B376" s="518">
        <f t="shared" si="12"/>
        <v>79</v>
      </c>
      <c r="C376" s="261" t="s">
        <v>71</v>
      </c>
      <c r="D376" s="261" t="s">
        <v>71</v>
      </c>
      <c r="E376" s="546" t="s">
        <v>1965</v>
      </c>
      <c r="F376" s="546">
        <v>150</v>
      </c>
      <c r="G376" s="280"/>
      <c r="H376" s="548">
        <v>417.3</v>
      </c>
      <c r="I376" s="282"/>
      <c r="J376" s="293">
        <f t="shared" si="11"/>
        <v>62595</v>
      </c>
      <c r="K376" s="549"/>
      <c r="L376" s="527"/>
      <c r="M376" s="526"/>
      <c r="N376" s="526"/>
      <c r="O376" s="528"/>
      <c r="P376" s="526"/>
    </row>
    <row r="377" spans="2:16" s="343" customFormat="1">
      <c r="B377" s="518">
        <f t="shared" si="12"/>
        <v>80</v>
      </c>
      <c r="C377" s="261" t="s">
        <v>72</v>
      </c>
      <c r="D377" s="261" t="s">
        <v>72</v>
      </c>
      <c r="E377" s="546" t="s">
        <v>1965</v>
      </c>
      <c r="F377" s="546">
        <v>50</v>
      </c>
      <c r="G377" s="280"/>
      <c r="H377" s="548">
        <v>709.41</v>
      </c>
      <c r="I377" s="282"/>
      <c r="J377" s="293">
        <f t="shared" si="11"/>
        <v>35470.5</v>
      </c>
      <c r="K377" s="549"/>
      <c r="L377" s="527"/>
      <c r="M377" s="526"/>
      <c r="N377" s="526"/>
      <c r="O377" s="528"/>
      <c r="P377" s="526"/>
    </row>
    <row r="378" spans="2:16" s="343" customFormat="1">
      <c r="B378" s="518">
        <f t="shared" si="12"/>
        <v>81</v>
      </c>
      <c r="C378" s="261" t="s">
        <v>644</v>
      </c>
      <c r="D378" s="261" t="s">
        <v>644</v>
      </c>
      <c r="E378" s="546" t="s">
        <v>1965</v>
      </c>
      <c r="F378" s="546">
        <v>1000</v>
      </c>
      <c r="G378" s="280"/>
      <c r="H378" s="548">
        <v>36.380000000000003</v>
      </c>
      <c r="I378" s="282"/>
      <c r="J378" s="293">
        <f t="shared" si="11"/>
        <v>36380</v>
      </c>
      <c r="K378" s="549"/>
      <c r="L378" s="527"/>
      <c r="M378" s="526"/>
      <c r="N378" s="526"/>
      <c r="O378" s="528"/>
      <c r="P378" s="526"/>
    </row>
    <row r="379" spans="2:16" s="343" customFormat="1">
      <c r="B379" s="518">
        <f t="shared" si="12"/>
        <v>82</v>
      </c>
      <c r="C379" s="261" t="s">
        <v>645</v>
      </c>
      <c r="D379" s="261" t="s">
        <v>645</v>
      </c>
      <c r="E379" s="546" t="s">
        <v>1965</v>
      </c>
      <c r="F379" s="546">
        <v>1000</v>
      </c>
      <c r="G379" s="280"/>
      <c r="H379" s="548">
        <v>5.35</v>
      </c>
      <c r="I379" s="282"/>
      <c r="J379" s="293">
        <f t="shared" si="11"/>
        <v>5350</v>
      </c>
      <c r="K379" s="549"/>
      <c r="L379" s="527"/>
      <c r="M379" s="526"/>
      <c r="N379" s="526"/>
      <c r="O379" s="528"/>
      <c r="P379" s="526"/>
    </row>
    <row r="380" spans="2:16" s="343" customFormat="1">
      <c r="B380" s="518">
        <f t="shared" si="12"/>
        <v>83</v>
      </c>
      <c r="C380" s="261" t="s">
        <v>646</v>
      </c>
      <c r="D380" s="261" t="s">
        <v>646</v>
      </c>
      <c r="E380" s="546" t="s">
        <v>1965</v>
      </c>
      <c r="F380" s="546">
        <v>5</v>
      </c>
      <c r="G380" s="280"/>
      <c r="H380" s="548">
        <v>16.05</v>
      </c>
      <c r="I380" s="282"/>
      <c r="J380" s="293">
        <f t="shared" si="11"/>
        <v>80.25</v>
      </c>
      <c r="K380" s="549"/>
      <c r="L380" s="527"/>
      <c r="M380" s="526"/>
      <c r="N380" s="526"/>
      <c r="O380" s="528"/>
      <c r="P380" s="526"/>
    </row>
    <row r="381" spans="2:16" s="343" customFormat="1">
      <c r="B381" s="518">
        <f t="shared" si="12"/>
        <v>84</v>
      </c>
      <c r="C381" s="261" t="s">
        <v>647</v>
      </c>
      <c r="D381" s="261" t="s">
        <v>647</v>
      </c>
      <c r="E381" s="546" t="s">
        <v>1965</v>
      </c>
      <c r="F381" s="546">
        <v>10</v>
      </c>
      <c r="G381" s="280"/>
      <c r="H381" s="548">
        <v>16.05</v>
      </c>
      <c r="I381" s="282"/>
      <c r="J381" s="293">
        <f t="shared" si="11"/>
        <v>160.5</v>
      </c>
      <c r="K381" s="549"/>
      <c r="L381" s="527"/>
      <c r="M381" s="526"/>
      <c r="N381" s="526"/>
      <c r="O381" s="528"/>
      <c r="P381" s="526"/>
    </row>
    <row r="382" spans="2:16" s="343" customFormat="1">
      <c r="B382" s="518">
        <f t="shared" si="12"/>
        <v>85</v>
      </c>
      <c r="C382" s="261" t="s">
        <v>648</v>
      </c>
      <c r="D382" s="261" t="s">
        <v>648</v>
      </c>
      <c r="E382" s="546" t="s">
        <v>1965</v>
      </c>
      <c r="F382" s="546">
        <v>200</v>
      </c>
      <c r="G382" s="280"/>
      <c r="H382" s="548">
        <v>17.8</v>
      </c>
      <c r="I382" s="282"/>
      <c r="J382" s="293">
        <f t="shared" si="11"/>
        <v>3560</v>
      </c>
      <c r="K382" s="549"/>
      <c r="L382" s="527"/>
      <c r="M382" s="526"/>
      <c r="N382" s="526"/>
      <c r="O382" s="528"/>
      <c r="P382" s="526"/>
    </row>
    <row r="383" spans="2:16" s="343" customFormat="1">
      <c r="B383" s="518">
        <f t="shared" si="12"/>
        <v>86</v>
      </c>
      <c r="C383" s="261" t="s">
        <v>649</v>
      </c>
      <c r="D383" s="261" t="s">
        <v>649</v>
      </c>
      <c r="E383" s="546" t="s">
        <v>1965</v>
      </c>
      <c r="F383" s="546">
        <v>200</v>
      </c>
      <c r="G383" s="280"/>
      <c r="H383" s="548">
        <v>9.6300000000000008</v>
      </c>
      <c r="I383" s="282"/>
      <c r="J383" s="293">
        <f t="shared" si="11"/>
        <v>1926.0000000000002</v>
      </c>
      <c r="K383" s="549"/>
      <c r="L383" s="527"/>
      <c r="M383" s="526"/>
      <c r="N383" s="526"/>
      <c r="O383" s="528"/>
      <c r="P383" s="526"/>
    </row>
    <row r="384" spans="2:16" s="343" customFormat="1">
      <c r="B384" s="518">
        <f t="shared" si="12"/>
        <v>87</v>
      </c>
      <c r="C384" s="261" t="s">
        <v>73</v>
      </c>
      <c r="D384" s="261" t="s">
        <v>73</v>
      </c>
      <c r="E384" s="546" t="s">
        <v>1965</v>
      </c>
      <c r="F384" s="546">
        <v>300</v>
      </c>
      <c r="G384" s="280"/>
      <c r="H384" s="548">
        <v>48.15</v>
      </c>
      <c r="I384" s="282"/>
      <c r="J384" s="293">
        <f t="shared" si="11"/>
        <v>14445</v>
      </c>
      <c r="K384" s="549"/>
      <c r="L384" s="527"/>
      <c r="M384" s="526"/>
      <c r="N384" s="526"/>
      <c r="O384" s="528"/>
      <c r="P384" s="526"/>
    </row>
    <row r="385" spans="2:16" s="343" customFormat="1">
      <c r="B385" s="518">
        <f t="shared" si="12"/>
        <v>88</v>
      </c>
      <c r="C385" s="261" t="s">
        <v>74</v>
      </c>
      <c r="D385" s="261" t="s">
        <v>74</v>
      </c>
      <c r="E385" s="546" t="s">
        <v>1965</v>
      </c>
      <c r="F385" s="546">
        <v>300</v>
      </c>
      <c r="G385" s="280"/>
      <c r="H385" s="548">
        <v>94.16</v>
      </c>
      <c r="I385" s="282"/>
      <c r="J385" s="293">
        <f t="shared" si="11"/>
        <v>28248</v>
      </c>
      <c r="K385" s="549"/>
      <c r="L385" s="527"/>
      <c r="M385" s="526"/>
      <c r="N385" s="526"/>
      <c r="O385" s="528"/>
      <c r="P385" s="526"/>
    </row>
    <row r="386" spans="2:16" s="343" customFormat="1">
      <c r="B386" s="518">
        <f t="shared" si="12"/>
        <v>89</v>
      </c>
      <c r="C386" s="261" t="s">
        <v>75</v>
      </c>
      <c r="D386" s="261" t="s">
        <v>75</v>
      </c>
      <c r="E386" s="546" t="s">
        <v>1965</v>
      </c>
      <c r="F386" s="546">
        <v>300</v>
      </c>
      <c r="G386" s="280"/>
      <c r="H386" s="548">
        <v>85.6</v>
      </c>
      <c r="I386" s="282"/>
      <c r="J386" s="293">
        <f t="shared" si="11"/>
        <v>25680</v>
      </c>
      <c r="K386" s="549"/>
      <c r="L386" s="527"/>
      <c r="M386" s="526"/>
      <c r="N386" s="526"/>
      <c r="O386" s="528"/>
      <c r="P386" s="526"/>
    </row>
    <row r="387" spans="2:16" s="343" customFormat="1">
      <c r="B387" s="518">
        <f t="shared" si="12"/>
        <v>90</v>
      </c>
      <c r="C387" s="261" t="s">
        <v>76</v>
      </c>
      <c r="D387" s="261" t="s">
        <v>76</v>
      </c>
      <c r="E387" s="546" t="s">
        <v>1965</v>
      </c>
      <c r="F387" s="546">
        <v>300</v>
      </c>
      <c r="G387" s="280"/>
      <c r="H387" s="548">
        <v>85.6</v>
      </c>
      <c r="I387" s="282"/>
      <c r="J387" s="293">
        <f t="shared" si="11"/>
        <v>25680</v>
      </c>
      <c r="K387" s="549"/>
      <c r="L387" s="527"/>
      <c r="M387" s="526"/>
      <c r="N387" s="526"/>
      <c r="O387" s="528"/>
      <c r="P387" s="526"/>
    </row>
    <row r="388" spans="2:16" s="343" customFormat="1">
      <c r="B388" s="518">
        <f t="shared" si="12"/>
        <v>91</v>
      </c>
      <c r="C388" s="261" t="s">
        <v>77</v>
      </c>
      <c r="D388" s="261" t="s">
        <v>77</v>
      </c>
      <c r="E388" s="546" t="s">
        <v>1965</v>
      </c>
      <c r="F388" s="546">
        <v>300</v>
      </c>
      <c r="G388" s="280"/>
      <c r="H388" s="548">
        <v>78.11</v>
      </c>
      <c r="I388" s="282"/>
      <c r="J388" s="293">
        <f t="shared" si="11"/>
        <v>23433</v>
      </c>
      <c r="K388" s="549"/>
      <c r="L388" s="527"/>
      <c r="M388" s="526"/>
      <c r="N388" s="526"/>
      <c r="O388" s="528"/>
      <c r="P388" s="526"/>
    </row>
    <row r="389" spans="2:16" s="343" customFormat="1">
      <c r="B389" s="518">
        <f t="shared" si="12"/>
        <v>92</v>
      </c>
      <c r="C389" s="261" t="s">
        <v>78</v>
      </c>
      <c r="D389" s="261" t="s">
        <v>78</v>
      </c>
      <c r="E389" s="546" t="s">
        <v>1965</v>
      </c>
      <c r="F389" s="546">
        <v>200</v>
      </c>
      <c r="G389" s="280"/>
      <c r="H389" s="548">
        <v>74.900000000000006</v>
      </c>
      <c r="I389" s="282"/>
      <c r="J389" s="293">
        <f t="shared" si="11"/>
        <v>14980.000000000002</v>
      </c>
      <c r="K389" s="549"/>
      <c r="L389" s="527"/>
      <c r="M389" s="526"/>
      <c r="N389" s="526"/>
      <c r="O389" s="528"/>
      <c r="P389" s="526"/>
    </row>
    <row r="390" spans="2:16" s="343" customFormat="1">
      <c r="B390" s="518">
        <f t="shared" si="12"/>
        <v>93</v>
      </c>
      <c r="C390" s="261" t="s">
        <v>79</v>
      </c>
      <c r="D390" s="261" t="s">
        <v>79</v>
      </c>
      <c r="E390" s="546" t="s">
        <v>1965</v>
      </c>
      <c r="F390" s="546">
        <v>100</v>
      </c>
      <c r="G390" s="280"/>
      <c r="H390" s="548">
        <v>112.35</v>
      </c>
      <c r="I390" s="282"/>
      <c r="J390" s="293">
        <f t="shared" si="11"/>
        <v>11235</v>
      </c>
      <c r="K390" s="549"/>
      <c r="L390" s="527"/>
      <c r="M390" s="526"/>
      <c r="N390" s="526"/>
      <c r="O390" s="528"/>
      <c r="P390" s="526"/>
    </row>
    <row r="391" spans="2:16" s="343" customFormat="1">
      <c r="B391" s="518">
        <f t="shared" si="12"/>
        <v>94</v>
      </c>
      <c r="C391" s="261" t="s">
        <v>80</v>
      </c>
      <c r="D391" s="261" t="s">
        <v>80</v>
      </c>
      <c r="E391" s="546" t="s">
        <v>1965</v>
      </c>
      <c r="F391" s="546">
        <v>800</v>
      </c>
      <c r="G391" s="280"/>
      <c r="H391" s="548">
        <v>1.5</v>
      </c>
      <c r="I391" s="282"/>
      <c r="J391" s="293">
        <f t="shared" si="11"/>
        <v>1200</v>
      </c>
      <c r="K391" s="549"/>
      <c r="L391" s="527"/>
      <c r="M391" s="526"/>
      <c r="N391" s="526"/>
      <c r="O391" s="528"/>
      <c r="P391" s="526"/>
    </row>
    <row r="392" spans="2:16" s="343" customFormat="1">
      <c r="B392" s="518">
        <f t="shared" si="12"/>
        <v>95</v>
      </c>
      <c r="C392" s="261" t="s">
        <v>650</v>
      </c>
      <c r="D392" s="261" t="s">
        <v>650</v>
      </c>
      <c r="E392" s="546" t="s">
        <v>671</v>
      </c>
      <c r="F392" s="546">
        <v>800</v>
      </c>
      <c r="G392" s="280"/>
      <c r="H392" s="548">
        <v>1.35</v>
      </c>
      <c r="I392" s="282"/>
      <c r="J392" s="293">
        <f t="shared" si="11"/>
        <v>1080</v>
      </c>
      <c r="K392" s="549"/>
      <c r="L392" s="527"/>
      <c r="M392" s="526"/>
      <c r="N392" s="526"/>
      <c r="O392" s="528"/>
      <c r="P392" s="526"/>
    </row>
    <row r="393" spans="2:16" s="343" customFormat="1">
      <c r="B393" s="518">
        <f t="shared" si="12"/>
        <v>96</v>
      </c>
      <c r="C393" s="261" t="s">
        <v>651</v>
      </c>
      <c r="D393" s="261" t="s">
        <v>651</v>
      </c>
      <c r="E393" s="546" t="s">
        <v>548</v>
      </c>
      <c r="F393" s="546">
        <v>10</v>
      </c>
      <c r="G393" s="280"/>
      <c r="H393" s="548">
        <v>395.9</v>
      </c>
      <c r="I393" s="282"/>
      <c r="J393" s="293">
        <f t="shared" si="11"/>
        <v>3959</v>
      </c>
      <c r="K393" s="549"/>
      <c r="L393" s="527"/>
      <c r="M393" s="526"/>
      <c r="N393" s="526"/>
      <c r="O393" s="528"/>
      <c r="P393" s="526"/>
    </row>
    <row r="394" spans="2:16" s="343" customFormat="1">
      <c r="B394" s="518">
        <f t="shared" si="12"/>
        <v>97</v>
      </c>
      <c r="C394" s="261" t="s">
        <v>652</v>
      </c>
      <c r="D394" s="261" t="s">
        <v>652</v>
      </c>
      <c r="E394" s="546" t="s">
        <v>548</v>
      </c>
      <c r="F394" s="546">
        <v>10</v>
      </c>
      <c r="G394" s="280"/>
      <c r="H394" s="548">
        <v>267.5</v>
      </c>
      <c r="I394" s="282"/>
      <c r="J394" s="293">
        <f t="shared" si="11"/>
        <v>2675</v>
      </c>
      <c r="K394" s="549"/>
      <c r="L394" s="527"/>
      <c r="M394" s="526"/>
      <c r="N394" s="526"/>
      <c r="O394" s="528"/>
      <c r="P394" s="526"/>
    </row>
    <row r="395" spans="2:16" s="343" customFormat="1">
      <c r="B395" s="518">
        <f t="shared" si="12"/>
        <v>98</v>
      </c>
      <c r="C395" s="261" t="s">
        <v>653</v>
      </c>
      <c r="D395" s="261" t="s">
        <v>653</v>
      </c>
      <c r="E395" s="546" t="s">
        <v>1965</v>
      </c>
      <c r="F395" s="546">
        <v>200</v>
      </c>
      <c r="G395" s="280"/>
      <c r="H395" s="548">
        <v>17.12</v>
      </c>
      <c r="I395" s="282"/>
      <c r="J395" s="293">
        <f t="shared" si="11"/>
        <v>3424</v>
      </c>
      <c r="K395" s="549"/>
      <c r="L395" s="527"/>
      <c r="M395" s="526"/>
      <c r="N395" s="526"/>
      <c r="O395" s="528"/>
      <c r="P395" s="526"/>
    </row>
    <row r="396" spans="2:16" s="343" customFormat="1">
      <c r="B396" s="518">
        <f t="shared" si="12"/>
        <v>99</v>
      </c>
      <c r="C396" s="261" t="s">
        <v>654</v>
      </c>
      <c r="D396" s="261" t="s">
        <v>654</v>
      </c>
      <c r="E396" s="546" t="s">
        <v>1965</v>
      </c>
      <c r="F396" s="546">
        <v>200</v>
      </c>
      <c r="G396" s="280"/>
      <c r="H396" s="548">
        <v>24.61</v>
      </c>
      <c r="I396" s="282"/>
      <c r="J396" s="293">
        <f t="shared" si="11"/>
        <v>4922</v>
      </c>
      <c r="K396" s="549"/>
      <c r="L396" s="527"/>
      <c r="M396" s="526"/>
      <c r="N396" s="526"/>
      <c r="O396" s="528"/>
      <c r="P396" s="526"/>
    </row>
    <row r="397" spans="2:16" s="343" customFormat="1">
      <c r="B397" s="518">
        <f t="shared" si="12"/>
        <v>100</v>
      </c>
      <c r="C397" s="261" t="s">
        <v>655</v>
      </c>
      <c r="D397" s="261" t="s">
        <v>655</v>
      </c>
      <c r="E397" s="546" t="s">
        <v>1965</v>
      </c>
      <c r="F397" s="546">
        <v>200</v>
      </c>
      <c r="G397" s="280"/>
      <c r="H397" s="548">
        <v>33.17</v>
      </c>
      <c r="I397" s="282"/>
      <c r="J397" s="293">
        <f t="shared" si="11"/>
        <v>6634</v>
      </c>
      <c r="K397" s="549"/>
      <c r="L397" s="527"/>
      <c r="M397" s="526"/>
      <c r="N397" s="526"/>
      <c r="O397" s="528"/>
      <c r="P397" s="526"/>
    </row>
    <row r="398" spans="2:16" s="343" customFormat="1">
      <c r="B398" s="518">
        <f t="shared" si="12"/>
        <v>101</v>
      </c>
      <c r="C398" s="261" t="s">
        <v>656</v>
      </c>
      <c r="D398" s="261" t="s">
        <v>656</v>
      </c>
      <c r="E398" s="546" t="s">
        <v>1965</v>
      </c>
      <c r="F398" s="546">
        <v>10</v>
      </c>
      <c r="G398" s="280"/>
      <c r="H398" s="548">
        <v>277.13</v>
      </c>
      <c r="I398" s="282"/>
      <c r="J398" s="293">
        <f t="shared" si="11"/>
        <v>2771.3</v>
      </c>
      <c r="K398" s="549"/>
      <c r="L398" s="527"/>
      <c r="M398" s="526"/>
      <c r="N398" s="526"/>
      <c r="O398" s="528"/>
      <c r="P398" s="526"/>
    </row>
    <row r="399" spans="2:16" s="343" customFormat="1">
      <c r="B399" s="518">
        <f t="shared" si="12"/>
        <v>102</v>
      </c>
      <c r="C399" s="261" t="s">
        <v>657</v>
      </c>
      <c r="D399" s="261" t="s">
        <v>657</v>
      </c>
      <c r="E399" s="546" t="s">
        <v>1965</v>
      </c>
      <c r="F399" s="546">
        <v>10</v>
      </c>
      <c r="G399" s="280"/>
      <c r="H399" s="548">
        <v>293.18</v>
      </c>
      <c r="I399" s="282"/>
      <c r="J399" s="293">
        <f t="shared" si="11"/>
        <v>2931.8</v>
      </c>
      <c r="K399" s="549"/>
      <c r="L399" s="527"/>
      <c r="M399" s="526"/>
      <c r="N399" s="526"/>
      <c r="O399" s="528"/>
      <c r="P399" s="526"/>
    </row>
    <row r="400" spans="2:16" s="343" customFormat="1">
      <c r="B400" s="518">
        <f t="shared" si="12"/>
        <v>103</v>
      </c>
      <c r="C400" s="261" t="s">
        <v>659</v>
      </c>
      <c r="D400" s="261" t="s">
        <v>659</v>
      </c>
      <c r="E400" s="546" t="s">
        <v>1965</v>
      </c>
      <c r="F400" s="546">
        <v>10</v>
      </c>
      <c r="G400" s="280"/>
      <c r="H400" s="548">
        <v>192.6</v>
      </c>
      <c r="I400" s="282"/>
      <c r="J400" s="293">
        <f t="shared" si="11"/>
        <v>1926</v>
      </c>
      <c r="K400" s="549"/>
      <c r="L400" s="527"/>
      <c r="M400" s="526"/>
      <c r="N400" s="526"/>
      <c r="O400" s="528"/>
      <c r="P400" s="526"/>
    </row>
    <row r="401" spans="2:16" s="343" customFormat="1">
      <c r="B401" s="518">
        <f t="shared" si="12"/>
        <v>104</v>
      </c>
      <c r="C401" s="261" t="s">
        <v>660</v>
      </c>
      <c r="D401" s="261" t="s">
        <v>660</v>
      </c>
      <c r="E401" s="546" t="s">
        <v>1965</v>
      </c>
      <c r="F401" s="546">
        <v>30</v>
      </c>
      <c r="G401" s="280"/>
      <c r="H401" s="548">
        <v>5.35</v>
      </c>
      <c r="I401" s="282"/>
      <c r="J401" s="293">
        <f t="shared" si="11"/>
        <v>160.5</v>
      </c>
      <c r="K401" s="549"/>
      <c r="L401" s="527"/>
      <c r="M401" s="526"/>
      <c r="N401" s="526"/>
      <c r="O401" s="528"/>
      <c r="P401" s="526"/>
    </row>
    <row r="402" spans="2:16" s="343" customFormat="1">
      <c r="B402" s="518">
        <f t="shared" si="12"/>
        <v>105</v>
      </c>
      <c r="C402" s="261" t="s">
        <v>81</v>
      </c>
      <c r="D402" s="261" t="s">
        <v>81</v>
      </c>
      <c r="E402" s="546" t="s">
        <v>1965</v>
      </c>
      <c r="F402" s="546">
        <v>50</v>
      </c>
      <c r="G402" s="280"/>
      <c r="H402" s="548">
        <v>17.12</v>
      </c>
      <c r="I402" s="282"/>
      <c r="J402" s="293">
        <f t="shared" si="11"/>
        <v>856</v>
      </c>
      <c r="K402" s="549"/>
      <c r="L402" s="527"/>
      <c r="M402" s="526"/>
      <c r="N402" s="526"/>
      <c r="O402" s="528"/>
      <c r="P402" s="526"/>
    </row>
    <row r="403" spans="2:16" s="343" customFormat="1">
      <c r="B403" s="518">
        <f t="shared" si="12"/>
        <v>106</v>
      </c>
      <c r="C403" s="261" t="s">
        <v>82</v>
      </c>
      <c r="D403" s="261" t="s">
        <v>82</v>
      </c>
      <c r="E403" s="546" t="s">
        <v>548</v>
      </c>
      <c r="F403" s="546">
        <v>5</v>
      </c>
      <c r="G403" s="280"/>
      <c r="H403" s="548">
        <v>62.06</v>
      </c>
      <c r="I403" s="282"/>
      <c r="J403" s="293">
        <f t="shared" si="11"/>
        <v>310.3</v>
      </c>
      <c r="K403" s="549"/>
      <c r="L403" s="527"/>
      <c r="M403" s="526"/>
      <c r="N403" s="526"/>
      <c r="O403" s="528"/>
      <c r="P403" s="526"/>
    </row>
    <row r="404" spans="2:16" s="343" customFormat="1" ht="26.25">
      <c r="B404" s="518">
        <f t="shared" si="12"/>
        <v>107</v>
      </c>
      <c r="C404" s="261" t="s">
        <v>661</v>
      </c>
      <c r="D404" s="261" t="s">
        <v>661</v>
      </c>
      <c r="E404" s="546" t="s">
        <v>548</v>
      </c>
      <c r="F404" s="546">
        <v>1</v>
      </c>
      <c r="G404" s="280"/>
      <c r="H404" s="548">
        <v>185.11</v>
      </c>
      <c r="I404" s="282"/>
      <c r="J404" s="293">
        <f t="shared" si="11"/>
        <v>185.11</v>
      </c>
      <c r="K404" s="549"/>
      <c r="L404" s="527"/>
      <c r="M404" s="526"/>
      <c r="N404" s="526"/>
      <c r="O404" s="528"/>
      <c r="P404" s="526"/>
    </row>
    <row r="405" spans="2:16" s="343" customFormat="1">
      <c r="B405" s="518">
        <f t="shared" si="12"/>
        <v>108</v>
      </c>
      <c r="C405" s="261" t="s">
        <v>662</v>
      </c>
      <c r="D405" s="261" t="s">
        <v>662</v>
      </c>
      <c r="E405" s="546" t="s">
        <v>1965</v>
      </c>
      <c r="F405" s="546">
        <v>20</v>
      </c>
      <c r="G405" s="280"/>
      <c r="H405" s="548">
        <v>20.62</v>
      </c>
      <c r="I405" s="282"/>
      <c r="J405" s="293">
        <f t="shared" si="11"/>
        <v>412.40000000000003</v>
      </c>
      <c r="K405" s="549"/>
      <c r="L405" s="527"/>
      <c r="M405" s="526"/>
      <c r="N405" s="526"/>
      <c r="O405" s="528"/>
      <c r="P405" s="526"/>
    </row>
    <row r="406" spans="2:16" s="343" customFormat="1">
      <c r="B406" s="518">
        <f t="shared" si="12"/>
        <v>109</v>
      </c>
      <c r="C406" s="261" t="s">
        <v>663</v>
      </c>
      <c r="D406" s="261" t="s">
        <v>663</v>
      </c>
      <c r="E406" s="546" t="s">
        <v>1965</v>
      </c>
      <c r="F406" s="546">
        <v>40</v>
      </c>
      <c r="G406" s="280"/>
      <c r="H406" s="548">
        <v>31</v>
      </c>
      <c r="I406" s="282"/>
      <c r="J406" s="293">
        <f t="shared" si="11"/>
        <v>1240</v>
      </c>
      <c r="K406" s="549"/>
      <c r="L406" s="527"/>
      <c r="M406" s="526"/>
      <c r="N406" s="526"/>
      <c r="O406" s="528"/>
      <c r="P406" s="526"/>
    </row>
    <row r="407" spans="2:16" s="343" customFormat="1">
      <c r="B407" s="518">
        <f t="shared" si="12"/>
        <v>110</v>
      </c>
      <c r="C407" s="261" t="s">
        <v>664</v>
      </c>
      <c r="D407" s="261" t="s">
        <v>664</v>
      </c>
      <c r="E407" s="546" t="s">
        <v>1965</v>
      </c>
      <c r="F407" s="546">
        <v>20</v>
      </c>
      <c r="G407" s="280"/>
      <c r="H407" s="548">
        <v>33</v>
      </c>
      <c r="I407" s="282"/>
      <c r="J407" s="293">
        <f t="shared" si="11"/>
        <v>660</v>
      </c>
      <c r="K407" s="549"/>
      <c r="L407" s="527"/>
      <c r="M407" s="526"/>
      <c r="N407" s="526"/>
      <c r="O407" s="528"/>
      <c r="P407" s="526"/>
    </row>
    <row r="408" spans="2:16" s="343" customFormat="1">
      <c r="B408" s="518">
        <f t="shared" si="12"/>
        <v>111</v>
      </c>
      <c r="C408" s="261" t="s">
        <v>665</v>
      </c>
      <c r="D408" s="261" t="s">
        <v>665</v>
      </c>
      <c r="E408" s="546" t="s">
        <v>1965</v>
      </c>
      <c r="F408" s="546">
        <v>50</v>
      </c>
      <c r="G408" s="280"/>
      <c r="H408" s="548">
        <v>33</v>
      </c>
      <c r="I408" s="282"/>
      <c r="J408" s="293">
        <f t="shared" si="11"/>
        <v>1650</v>
      </c>
      <c r="K408" s="549"/>
      <c r="L408" s="527"/>
      <c r="M408" s="526"/>
      <c r="N408" s="526"/>
      <c r="O408" s="528"/>
      <c r="P408" s="526"/>
    </row>
    <row r="409" spans="2:16" s="343" customFormat="1">
      <c r="B409" s="518">
        <f t="shared" si="12"/>
        <v>112</v>
      </c>
      <c r="C409" s="261" t="s">
        <v>666</v>
      </c>
      <c r="D409" s="261" t="s">
        <v>666</v>
      </c>
      <c r="E409" s="546" t="s">
        <v>1965</v>
      </c>
      <c r="F409" s="546">
        <v>50</v>
      </c>
      <c r="G409" s="280"/>
      <c r="H409" s="548">
        <v>33</v>
      </c>
      <c r="I409" s="282"/>
      <c r="J409" s="293">
        <f t="shared" si="11"/>
        <v>1650</v>
      </c>
      <c r="K409" s="549"/>
      <c r="L409" s="527"/>
      <c r="M409" s="526"/>
      <c r="N409" s="526"/>
      <c r="O409" s="528"/>
      <c r="P409" s="526"/>
    </row>
    <row r="410" spans="2:16" s="343" customFormat="1">
      <c r="B410" s="518">
        <f t="shared" si="12"/>
        <v>113</v>
      </c>
      <c r="C410" s="261" t="s">
        <v>667</v>
      </c>
      <c r="D410" s="261" t="s">
        <v>667</v>
      </c>
      <c r="E410" s="546" t="s">
        <v>1965</v>
      </c>
      <c r="F410" s="546">
        <v>50</v>
      </c>
      <c r="G410" s="280"/>
      <c r="H410" s="548">
        <v>33</v>
      </c>
      <c r="I410" s="282"/>
      <c r="J410" s="293">
        <f t="shared" si="11"/>
        <v>1650</v>
      </c>
      <c r="K410" s="549"/>
      <c r="L410" s="527"/>
      <c r="M410" s="526"/>
      <c r="N410" s="526"/>
      <c r="O410" s="528"/>
      <c r="P410" s="526"/>
    </row>
    <row r="411" spans="2:16" s="343" customFormat="1">
      <c r="B411" s="518">
        <f t="shared" si="12"/>
        <v>114</v>
      </c>
      <c r="C411" s="261" t="s">
        <v>668</v>
      </c>
      <c r="D411" s="261" t="s">
        <v>668</v>
      </c>
      <c r="E411" s="546" t="s">
        <v>1965</v>
      </c>
      <c r="F411" s="546">
        <v>500</v>
      </c>
      <c r="G411" s="280"/>
      <c r="H411" s="548">
        <v>43.87</v>
      </c>
      <c r="I411" s="282"/>
      <c r="J411" s="293">
        <f t="shared" si="11"/>
        <v>21935</v>
      </c>
      <c r="K411" s="549"/>
      <c r="L411" s="527"/>
      <c r="M411" s="526"/>
      <c r="N411" s="526"/>
      <c r="O411" s="528"/>
      <c r="P411" s="526"/>
    </row>
    <row r="412" spans="2:16" s="343" customFormat="1">
      <c r="B412" s="518">
        <f t="shared" si="12"/>
        <v>115</v>
      </c>
      <c r="C412" s="261" t="s">
        <v>669</v>
      </c>
      <c r="D412" s="261" t="s">
        <v>669</v>
      </c>
      <c r="E412" s="546" t="s">
        <v>1965</v>
      </c>
      <c r="F412" s="546">
        <v>300</v>
      </c>
      <c r="G412" s="280"/>
      <c r="H412" s="548">
        <v>67.41</v>
      </c>
      <c r="I412" s="282"/>
      <c r="J412" s="293">
        <f t="shared" si="11"/>
        <v>20223</v>
      </c>
      <c r="K412" s="549"/>
      <c r="L412" s="527"/>
      <c r="M412" s="526"/>
      <c r="N412" s="526"/>
      <c r="O412" s="528"/>
      <c r="P412" s="526"/>
    </row>
    <row r="413" spans="2:16" s="343" customFormat="1">
      <c r="B413" s="518">
        <f t="shared" si="12"/>
        <v>116</v>
      </c>
      <c r="C413" s="261" t="s">
        <v>83</v>
      </c>
      <c r="D413" s="261" t="s">
        <v>83</v>
      </c>
      <c r="E413" s="546" t="s">
        <v>1965</v>
      </c>
      <c r="F413" s="546">
        <v>20</v>
      </c>
      <c r="G413" s="280"/>
      <c r="H413" s="548">
        <v>53.5</v>
      </c>
      <c r="I413" s="282"/>
      <c r="J413" s="293">
        <f t="shared" si="11"/>
        <v>1070</v>
      </c>
      <c r="K413" s="549"/>
      <c r="L413" s="527"/>
      <c r="M413" s="526"/>
      <c r="N413" s="526"/>
      <c r="O413" s="528"/>
      <c r="P413" s="526"/>
    </row>
    <row r="414" spans="2:16" s="343" customFormat="1">
      <c r="B414" s="518">
        <f t="shared" si="12"/>
        <v>117</v>
      </c>
      <c r="C414" s="261" t="s">
        <v>84</v>
      </c>
      <c r="D414" s="261" t="s">
        <v>84</v>
      </c>
      <c r="E414" s="546" t="s">
        <v>1965</v>
      </c>
      <c r="F414" s="546">
        <v>20</v>
      </c>
      <c r="G414" s="280"/>
      <c r="H414" s="548">
        <v>101.65</v>
      </c>
      <c r="I414" s="282"/>
      <c r="J414" s="293">
        <f t="shared" si="11"/>
        <v>2033</v>
      </c>
      <c r="K414" s="549"/>
      <c r="L414" s="527"/>
      <c r="M414" s="526"/>
      <c r="N414" s="526"/>
      <c r="O414" s="528"/>
      <c r="P414" s="526"/>
    </row>
    <row r="415" spans="2:16" s="343" customFormat="1">
      <c r="B415" s="518">
        <f t="shared" si="12"/>
        <v>118</v>
      </c>
      <c r="C415" s="261" t="s">
        <v>670</v>
      </c>
      <c r="D415" s="261" t="s">
        <v>670</v>
      </c>
      <c r="E415" s="546" t="s">
        <v>1965</v>
      </c>
      <c r="F415" s="546">
        <v>2</v>
      </c>
      <c r="G415" s="280"/>
      <c r="H415" s="548">
        <v>379.85</v>
      </c>
      <c r="I415" s="282"/>
      <c r="J415" s="293">
        <f t="shared" si="11"/>
        <v>759.7</v>
      </c>
      <c r="K415" s="549"/>
      <c r="L415" s="527"/>
      <c r="M415" s="526"/>
      <c r="N415" s="526"/>
      <c r="O415" s="528"/>
      <c r="P415" s="526"/>
    </row>
    <row r="416" spans="2:16" s="343" customFormat="1">
      <c r="B416" s="518">
        <f t="shared" si="12"/>
        <v>119</v>
      </c>
      <c r="C416" s="261" t="s">
        <v>85</v>
      </c>
      <c r="D416" s="261" t="s">
        <v>85</v>
      </c>
      <c r="E416" s="546" t="s">
        <v>539</v>
      </c>
      <c r="F416" s="547">
        <v>5</v>
      </c>
      <c r="G416" s="554"/>
      <c r="H416" s="548">
        <v>147.66</v>
      </c>
      <c r="I416" s="282"/>
      <c r="J416" s="293">
        <f t="shared" si="11"/>
        <v>738.3</v>
      </c>
      <c r="K416" s="549"/>
      <c r="L416" s="527"/>
      <c r="M416" s="526"/>
      <c r="N416" s="526"/>
      <c r="O416" s="528"/>
      <c r="P416" s="526"/>
    </row>
    <row r="417" spans="2:16" s="343" customFormat="1">
      <c r="B417" s="518">
        <f t="shared" si="12"/>
        <v>120</v>
      </c>
      <c r="C417" s="261" t="s">
        <v>86</v>
      </c>
      <c r="D417" s="261" t="s">
        <v>86</v>
      </c>
      <c r="E417" s="546" t="s">
        <v>539</v>
      </c>
      <c r="F417" s="547">
        <v>5</v>
      </c>
      <c r="G417" s="554"/>
      <c r="H417" s="548">
        <v>147.66</v>
      </c>
      <c r="I417" s="282"/>
      <c r="J417" s="293">
        <f t="shared" si="11"/>
        <v>738.3</v>
      </c>
      <c r="K417" s="549"/>
      <c r="L417" s="527"/>
      <c r="M417" s="526"/>
      <c r="N417" s="526"/>
      <c r="O417" s="528"/>
      <c r="P417" s="526"/>
    </row>
    <row r="418" spans="2:16" s="343" customFormat="1">
      <c r="B418" s="518">
        <f t="shared" si="12"/>
        <v>121</v>
      </c>
      <c r="C418" s="261" t="s">
        <v>87</v>
      </c>
      <c r="D418" s="261" t="s">
        <v>87</v>
      </c>
      <c r="E418" s="546" t="s">
        <v>539</v>
      </c>
      <c r="F418" s="547">
        <v>20</v>
      </c>
      <c r="G418" s="280"/>
      <c r="H418" s="555">
        <v>1389.93</v>
      </c>
      <c r="I418" s="282"/>
      <c r="J418" s="293">
        <f t="shared" si="11"/>
        <v>27798.600000000002</v>
      </c>
      <c r="K418" s="549"/>
      <c r="L418" s="527"/>
      <c r="M418" s="526"/>
      <c r="N418" s="526"/>
      <c r="O418" s="528"/>
      <c r="P418" s="526"/>
    </row>
    <row r="419" spans="2:16" s="355" customFormat="1">
      <c r="B419" s="518">
        <f t="shared" si="12"/>
        <v>122</v>
      </c>
      <c r="C419" s="261" t="s">
        <v>658</v>
      </c>
      <c r="D419" s="261" t="s">
        <v>658</v>
      </c>
      <c r="E419" s="546" t="s">
        <v>539</v>
      </c>
      <c r="F419" s="547">
        <v>50</v>
      </c>
      <c r="G419" s="280"/>
      <c r="H419" s="260">
        <v>551.04999999999995</v>
      </c>
      <c r="I419" s="282"/>
      <c r="J419" s="293">
        <f t="shared" si="11"/>
        <v>27552.499999999996</v>
      </c>
      <c r="K419" s="549"/>
      <c r="L419" s="527"/>
      <c r="M419" s="526"/>
      <c r="N419" s="526"/>
      <c r="O419" s="528"/>
      <c r="P419" s="526"/>
    </row>
    <row r="420" spans="2:16" s="343" customFormat="1">
      <c r="B420" s="518"/>
      <c r="C420" s="556"/>
      <c r="D420" s="557"/>
      <c r="E420" s="558"/>
      <c r="F420" s="558"/>
      <c r="G420" s="280"/>
      <c r="H420" s="260"/>
      <c r="I420" s="282"/>
      <c r="J420" s="293">
        <f t="shared" si="11"/>
        <v>0</v>
      </c>
      <c r="K420" s="549"/>
      <c r="L420" s="527"/>
      <c r="M420" s="526"/>
      <c r="N420" s="526"/>
      <c r="O420" s="528"/>
      <c r="P420" s="526"/>
    </row>
    <row r="421" spans="2:16" s="343" customFormat="1">
      <c r="B421" s="518"/>
      <c r="C421" s="517"/>
      <c r="D421" s="284"/>
      <c r="E421" s="280"/>
      <c r="F421" s="280"/>
      <c r="G421" s="280"/>
      <c r="H421" s="280"/>
      <c r="I421" s="282"/>
      <c r="J421" s="293">
        <f>SUM(J298:J420)</f>
        <v>998109.29000000015</v>
      </c>
      <c r="K421" s="526"/>
      <c r="L421" s="559"/>
      <c r="M421" s="526"/>
      <c r="N421" s="526"/>
      <c r="O421" s="528"/>
      <c r="P421" s="526"/>
    </row>
    <row r="422" spans="2:16" s="343" customFormat="1">
      <c r="B422" s="495"/>
      <c r="C422" s="485"/>
      <c r="D422" s="535"/>
      <c r="E422" s="495"/>
      <c r="F422" s="495"/>
      <c r="G422" s="495"/>
      <c r="H422" s="495"/>
      <c r="I422" s="501"/>
      <c r="J422" s="502"/>
      <c r="K422" s="526"/>
      <c r="L422" s="527"/>
      <c r="M422" s="526"/>
      <c r="N422" s="526"/>
      <c r="O422" s="528"/>
      <c r="P422" s="526"/>
    </row>
    <row r="423" spans="2:16" s="343" customFormat="1">
      <c r="B423" s="495"/>
      <c r="C423" s="540" t="s">
        <v>1842</v>
      </c>
      <c r="D423" s="536"/>
      <c r="E423" s="992" t="s">
        <v>1829</v>
      </c>
      <c r="F423" s="992"/>
      <c r="G423" s="993"/>
      <c r="H423" s="993"/>
      <c r="I423" s="501"/>
      <c r="J423" s="502"/>
      <c r="K423" s="526"/>
      <c r="L423" s="527"/>
      <c r="M423" s="526"/>
      <c r="N423" s="526"/>
      <c r="O423" s="528"/>
      <c r="P423" s="526"/>
    </row>
    <row r="424" spans="2:16" s="343" customFormat="1">
      <c r="B424" s="495"/>
      <c r="C424" s="485"/>
      <c r="D424" s="549"/>
      <c r="E424" s="495"/>
      <c r="F424" s="495"/>
      <c r="G424" s="495"/>
      <c r="H424" s="495"/>
      <c r="I424" s="501"/>
      <c r="J424" s="502"/>
      <c r="K424" s="526"/>
      <c r="L424" s="527"/>
      <c r="M424" s="526"/>
      <c r="N424" s="526"/>
      <c r="O424" s="528"/>
      <c r="P424" s="526"/>
    </row>
    <row r="425" spans="2:16" s="343" customFormat="1">
      <c r="B425" s="495"/>
      <c r="C425" s="545" t="s">
        <v>1285</v>
      </c>
      <c r="D425" s="560" t="s">
        <v>88</v>
      </c>
      <c r="E425" s="495"/>
      <c r="F425" s="495"/>
      <c r="G425" s="495"/>
      <c r="H425" s="495"/>
      <c r="I425" s="501"/>
      <c r="J425" s="502"/>
      <c r="K425" s="526"/>
      <c r="L425" s="527"/>
      <c r="M425" s="526"/>
      <c r="N425" s="526"/>
      <c r="O425" s="528"/>
      <c r="P425" s="526"/>
    </row>
    <row r="426" spans="2:16" s="343" customFormat="1">
      <c r="B426" s="495"/>
      <c r="C426" s="560"/>
      <c r="D426" s="535"/>
      <c r="E426" s="495"/>
      <c r="F426" s="495"/>
      <c r="G426" s="495"/>
      <c r="H426" s="495"/>
      <c r="I426" s="501"/>
      <c r="J426" s="502"/>
      <c r="K426" s="526"/>
      <c r="L426" s="527"/>
      <c r="M426" s="526"/>
      <c r="N426" s="526"/>
      <c r="O426" s="528"/>
      <c r="P426" s="526"/>
    </row>
    <row r="427" spans="2:16" s="343" customFormat="1" ht="31.5">
      <c r="B427" s="525" t="s">
        <v>1329</v>
      </c>
      <c r="C427" s="116" t="s">
        <v>560</v>
      </c>
      <c r="D427" s="284"/>
      <c r="E427" s="539" t="s">
        <v>1887</v>
      </c>
      <c r="F427" s="490" t="s">
        <v>1962</v>
      </c>
      <c r="G427" s="490" t="s">
        <v>1963</v>
      </c>
      <c r="H427" s="490" t="s">
        <v>122</v>
      </c>
      <c r="I427" s="491" t="s">
        <v>1964</v>
      </c>
      <c r="J427" s="492" t="s">
        <v>584</v>
      </c>
      <c r="K427" s="526"/>
      <c r="L427" s="527"/>
      <c r="M427" s="526"/>
      <c r="N427" s="526"/>
      <c r="O427" s="528"/>
      <c r="P427" s="526"/>
    </row>
    <row r="428" spans="2:16" s="343" customFormat="1">
      <c r="B428" s="518"/>
      <c r="C428" s="517"/>
      <c r="D428" s="561"/>
      <c r="E428" s="259"/>
      <c r="F428" s="280"/>
      <c r="G428" s="280"/>
      <c r="H428" s="548"/>
      <c r="I428" s="282"/>
      <c r="J428" s="293"/>
      <c r="K428" s="549"/>
      <c r="L428" s="562"/>
      <c r="M428" s="526"/>
      <c r="N428" s="526"/>
      <c r="O428" s="483"/>
      <c r="P428" s="549"/>
    </row>
    <row r="429" spans="2:16" s="343" customFormat="1">
      <c r="B429" s="518">
        <v>1</v>
      </c>
      <c r="C429" s="554" t="s">
        <v>89</v>
      </c>
      <c r="D429" s="554" t="s">
        <v>89</v>
      </c>
      <c r="E429" s="259"/>
      <c r="F429" s="543">
        <v>2</v>
      </c>
      <c r="G429" s="282">
        <v>4000</v>
      </c>
      <c r="H429" s="282">
        <v>4000</v>
      </c>
      <c r="I429" s="282"/>
      <c r="J429" s="293">
        <f>F429*H429</f>
        <v>8000</v>
      </c>
      <c r="K429" s="549"/>
      <c r="L429" s="527"/>
      <c r="M429" s="526"/>
      <c r="N429" s="526"/>
      <c r="O429" s="483"/>
      <c r="P429" s="549"/>
    </row>
    <row r="430" spans="2:16" s="343" customFormat="1">
      <c r="B430" s="518">
        <f>1+B429</f>
        <v>2</v>
      </c>
      <c r="C430" s="554" t="s">
        <v>90</v>
      </c>
      <c r="D430" s="554" t="s">
        <v>90</v>
      </c>
      <c r="E430" s="259"/>
      <c r="F430" s="543">
        <v>2</v>
      </c>
      <c r="G430" s="282">
        <v>4000</v>
      </c>
      <c r="H430" s="282">
        <v>4000</v>
      </c>
      <c r="I430" s="282"/>
      <c r="J430" s="293">
        <f>F430*H430</f>
        <v>8000</v>
      </c>
      <c r="K430" s="549"/>
      <c r="L430" s="527"/>
      <c r="M430" s="526"/>
      <c r="N430" s="526"/>
      <c r="O430" s="483"/>
      <c r="P430" s="549"/>
    </row>
    <row r="431" spans="2:16" s="343" customFormat="1">
      <c r="B431" s="518">
        <f>1+B430</f>
        <v>3</v>
      </c>
      <c r="C431" s="554" t="s">
        <v>91</v>
      </c>
      <c r="D431" s="554" t="s">
        <v>91</v>
      </c>
      <c r="E431" s="259"/>
      <c r="F431" s="543">
        <v>1</v>
      </c>
      <c r="G431" s="282">
        <v>1200</v>
      </c>
      <c r="H431" s="282">
        <v>1200</v>
      </c>
      <c r="I431" s="282"/>
      <c r="J431" s="293">
        <f>F431*H431</f>
        <v>1200</v>
      </c>
      <c r="K431" s="549"/>
      <c r="L431" s="527"/>
      <c r="M431" s="526"/>
      <c r="N431" s="526"/>
      <c r="O431" s="483"/>
      <c r="P431" s="549"/>
    </row>
    <row r="432" spans="2:16" s="343" customFormat="1">
      <c r="B432" s="518">
        <f>1+B431</f>
        <v>4</v>
      </c>
      <c r="C432" s="554" t="s">
        <v>92</v>
      </c>
      <c r="D432" s="554" t="s">
        <v>92</v>
      </c>
      <c r="E432" s="259"/>
      <c r="F432" s="543">
        <v>20</v>
      </c>
      <c r="G432" s="282">
        <v>250</v>
      </c>
      <c r="H432" s="282">
        <v>250</v>
      </c>
      <c r="I432" s="282"/>
      <c r="J432" s="293">
        <f>F432*H432</f>
        <v>5000</v>
      </c>
      <c r="K432" s="549"/>
      <c r="L432" s="527"/>
      <c r="M432" s="526"/>
      <c r="N432" s="526"/>
      <c r="O432" s="483"/>
      <c r="P432" s="549"/>
    </row>
    <row r="433" spans="2:16" s="343" customFormat="1">
      <c r="B433" s="518"/>
      <c r="C433" s="517"/>
      <c r="D433" s="284"/>
      <c r="E433" s="280"/>
      <c r="F433" s="280"/>
      <c r="G433" s="280"/>
      <c r="H433" s="280"/>
      <c r="I433" s="282"/>
      <c r="J433" s="293">
        <f>SUM(J428:J432)</f>
        <v>22200</v>
      </c>
      <c r="K433" s="526"/>
      <c r="L433" s="559"/>
      <c r="M433" s="526"/>
      <c r="N433" s="526"/>
      <c r="O433" s="528"/>
      <c r="P433" s="526"/>
    </row>
    <row r="434" spans="2:16" s="343" customFormat="1">
      <c r="B434" s="495"/>
      <c r="C434" s="485"/>
      <c r="D434" s="535"/>
      <c r="E434" s="495"/>
      <c r="F434" s="495"/>
      <c r="G434" s="495"/>
      <c r="H434" s="495"/>
      <c r="I434" s="501"/>
      <c r="J434" s="502"/>
      <c r="K434" s="526"/>
      <c r="L434" s="527"/>
      <c r="M434" s="526"/>
      <c r="N434" s="526"/>
      <c r="O434" s="528"/>
      <c r="P434" s="526"/>
    </row>
    <row r="435" spans="2:16" s="343" customFormat="1">
      <c r="B435" s="495"/>
      <c r="C435" s="540" t="s">
        <v>1842</v>
      </c>
      <c r="D435" s="536"/>
      <c r="E435" s="992" t="s">
        <v>1829</v>
      </c>
      <c r="F435" s="992"/>
      <c r="G435" s="993"/>
      <c r="H435" s="993"/>
      <c r="I435" s="501"/>
      <c r="J435" s="502"/>
      <c r="K435" s="526"/>
      <c r="L435" s="527"/>
      <c r="M435" s="526"/>
      <c r="N435" s="526"/>
      <c r="O435" s="528"/>
      <c r="P435" s="526"/>
    </row>
    <row r="436" spans="2:16" s="343" customFormat="1">
      <c r="B436" s="495"/>
      <c r="C436" s="540"/>
      <c r="D436" s="536"/>
      <c r="E436" s="652"/>
      <c r="F436" s="652"/>
      <c r="G436" s="652"/>
      <c r="H436" s="652"/>
      <c r="I436" s="501"/>
      <c r="J436" s="502"/>
      <c r="K436" s="526"/>
      <c r="L436" s="527"/>
      <c r="M436" s="526"/>
      <c r="N436" s="526"/>
      <c r="O436" s="528"/>
      <c r="P436" s="526"/>
    </row>
    <row r="437" spans="2:16" s="343" customFormat="1" ht="26.25">
      <c r="B437" s="495"/>
      <c r="C437" s="563" t="s">
        <v>93</v>
      </c>
      <c r="D437" s="563" t="s">
        <v>93</v>
      </c>
      <c r="E437" s="495"/>
      <c r="F437" s="495"/>
      <c r="G437" s="495"/>
      <c r="H437" s="495"/>
      <c r="I437" s="501"/>
      <c r="J437" s="502"/>
      <c r="K437" s="526"/>
      <c r="L437" s="527"/>
      <c r="M437" s="526"/>
      <c r="N437" s="526"/>
      <c r="O437" s="528"/>
      <c r="P437" s="526"/>
    </row>
    <row r="438" spans="2:16" s="343" customFormat="1">
      <c r="B438" s="495"/>
      <c r="C438" s="485"/>
      <c r="D438" s="535"/>
      <c r="E438" s="495"/>
      <c r="F438" s="495"/>
      <c r="G438" s="495"/>
      <c r="H438" s="495"/>
      <c r="I438" s="501"/>
      <c r="J438" s="502"/>
      <c r="K438" s="526"/>
      <c r="L438" s="527"/>
      <c r="M438" s="526"/>
      <c r="N438" s="526"/>
      <c r="O438" s="528"/>
      <c r="P438" s="526"/>
    </row>
    <row r="439" spans="2:16" s="343" customFormat="1" ht="31.5">
      <c r="B439" s="525" t="s">
        <v>1329</v>
      </c>
      <c r="C439" s="116" t="s">
        <v>560</v>
      </c>
      <c r="D439" s="284"/>
      <c r="E439" s="539" t="s">
        <v>1887</v>
      </c>
      <c r="F439" s="490" t="s">
        <v>1962</v>
      </c>
      <c r="G439" s="490" t="s">
        <v>1963</v>
      </c>
      <c r="H439" s="490" t="s">
        <v>122</v>
      </c>
      <c r="I439" s="491" t="s">
        <v>1964</v>
      </c>
      <c r="J439" s="492" t="s">
        <v>584</v>
      </c>
      <c r="K439" s="526"/>
      <c r="L439" s="527"/>
      <c r="M439" s="526"/>
      <c r="N439" s="526"/>
      <c r="O439" s="528"/>
      <c r="P439" s="526"/>
    </row>
    <row r="440" spans="2:16" s="343" customFormat="1" ht="15.75" customHeight="1">
      <c r="B440" s="518"/>
      <c r="C440" s="517"/>
      <c r="D440" s="561"/>
      <c r="E440" s="259"/>
      <c r="F440" s="280"/>
      <c r="G440" s="280"/>
      <c r="H440" s="564"/>
      <c r="I440" s="282"/>
      <c r="J440" s="293"/>
      <c r="K440" s="549"/>
      <c r="L440" s="527"/>
      <c r="M440" s="526"/>
      <c r="N440" s="526"/>
      <c r="O440" s="483"/>
      <c r="P440" s="549"/>
    </row>
    <row r="441" spans="2:16" s="343" customFormat="1">
      <c r="B441" s="518">
        <v>1</v>
      </c>
      <c r="C441" s="565" t="s">
        <v>94</v>
      </c>
      <c r="D441" s="565" t="s">
        <v>94</v>
      </c>
      <c r="E441" s="566" t="s">
        <v>539</v>
      </c>
      <c r="F441" s="567">
        <v>25</v>
      </c>
      <c r="G441" s="280"/>
      <c r="H441" s="282">
        <f>11290.11/25</f>
        <v>451.6044</v>
      </c>
      <c r="I441" s="282"/>
      <c r="J441" s="293">
        <f>F441*H441</f>
        <v>11290.11</v>
      </c>
      <c r="K441" s="549"/>
      <c r="L441" s="527"/>
      <c r="M441" s="526"/>
      <c r="N441" s="526"/>
      <c r="O441" s="483"/>
      <c r="P441" s="549"/>
    </row>
    <row r="442" spans="2:16">
      <c r="B442" s="518">
        <f>1+B441</f>
        <v>2</v>
      </c>
      <c r="C442" s="565" t="s">
        <v>95</v>
      </c>
      <c r="D442" s="565" t="s">
        <v>95</v>
      </c>
      <c r="E442" s="566" t="s">
        <v>539</v>
      </c>
      <c r="F442" s="567">
        <v>25</v>
      </c>
      <c r="G442" s="280"/>
      <c r="H442" s="282">
        <f>11290.11/25</f>
        <v>451.6044</v>
      </c>
      <c r="I442" s="282"/>
      <c r="J442" s="293">
        <f>F442*H442</f>
        <v>11290.11</v>
      </c>
      <c r="K442" s="549"/>
      <c r="L442" s="527"/>
      <c r="M442" s="526"/>
      <c r="N442" s="526"/>
      <c r="O442" s="483"/>
      <c r="P442" s="549"/>
    </row>
    <row r="443" spans="2:16">
      <c r="B443" s="518">
        <f>1+B442</f>
        <v>3</v>
      </c>
      <c r="C443" s="565" t="s">
        <v>96</v>
      </c>
      <c r="D443" s="565" t="s">
        <v>96</v>
      </c>
      <c r="E443" s="566" t="s">
        <v>539</v>
      </c>
      <c r="F443" s="567">
        <v>25</v>
      </c>
      <c r="G443" s="280"/>
      <c r="H443" s="282">
        <f>11290.1/25</f>
        <v>451.60400000000004</v>
      </c>
      <c r="I443" s="282"/>
      <c r="J443" s="293">
        <f>F443*H443</f>
        <v>11290.1</v>
      </c>
      <c r="K443" s="549"/>
      <c r="L443" s="527"/>
      <c r="M443" s="526"/>
      <c r="N443" s="526"/>
      <c r="O443" s="483"/>
      <c r="P443" s="549"/>
    </row>
    <row r="444" spans="2:16">
      <c r="B444" s="518"/>
      <c r="C444" s="517"/>
      <c r="D444" s="284"/>
      <c r="E444" s="280"/>
      <c r="F444" s="280"/>
      <c r="G444" s="280"/>
      <c r="H444" s="280"/>
      <c r="I444" s="282"/>
      <c r="J444" s="293">
        <f>SUM(J440:J443)</f>
        <v>33870.32</v>
      </c>
      <c r="K444" s="526"/>
      <c r="L444" s="559"/>
      <c r="M444" s="526"/>
      <c r="N444" s="526"/>
      <c r="O444" s="528"/>
      <c r="P444" s="526"/>
    </row>
    <row r="445" spans="2:16">
      <c r="B445" s="495"/>
      <c r="C445" s="485"/>
      <c r="D445" s="535"/>
      <c r="E445" s="495"/>
      <c r="F445" s="495"/>
      <c r="G445" s="495"/>
      <c r="H445" s="495"/>
      <c r="I445" s="501"/>
      <c r="J445" s="502"/>
      <c r="K445" s="526"/>
      <c r="L445" s="527"/>
      <c r="M445" s="526"/>
      <c r="N445" s="526"/>
      <c r="O445" s="528"/>
      <c r="P445" s="526"/>
    </row>
    <row r="446" spans="2:16">
      <c r="B446" s="495"/>
      <c r="C446" s="540" t="s">
        <v>1842</v>
      </c>
      <c r="D446" s="536"/>
      <c r="E446" s="992" t="s">
        <v>1829</v>
      </c>
      <c r="F446" s="992"/>
      <c r="G446" s="993"/>
      <c r="H446" s="993"/>
      <c r="I446" s="501"/>
      <c r="J446" s="502"/>
      <c r="K446" s="526"/>
      <c r="L446" s="527"/>
      <c r="M446" s="526"/>
      <c r="N446" s="526"/>
      <c r="O446" s="528"/>
      <c r="P446" s="526"/>
    </row>
    <row r="447" spans="2:16">
      <c r="B447" s="495"/>
      <c r="C447" s="540"/>
      <c r="D447" s="536"/>
      <c r="E447" s="652"/>
      <c r="F447" s="652"/>
      <c r="G447" s="652"/>
      <c r="H447" s="652"/>
      <c r="I447" s="501"/>
      <c r="J447" s="502"/>
      <c r="K447" s="526"/>
      <c r="L447" s="527"/>
      <c r="M447" s="526"/>
      <c r="N447" s="526"/>
      <c r="O447" s="528"/>
      <c r="P447" s="526"/>
    </row>
    <row r="448" spans="2:16">
      <c r="B448" s="495"/>
      <c r="C448" s="540"/>
      <c r="D448" s="536"/>
      <c r="E448" s="652"/>
      <c r="F448" s="652"/>
      <c r="G448" s="652"/>
      <c r="H448" s="652"/>
      <c r="I448" s="501"/>
      <c r="J448" s="502"/>
      <c r="K448" s="526"/>
      <c r="L448" s="527"/>
      <c r="M448" s="526"/>
      <c r="N448" s="526"/>
      <c r="O448" s="528"/>
      <c r="P448" s="526"/>
    </row>
    <row r="449" spans="2:16">
      <c r="B449" s="568"/>
      <c r="C449" s="485" t="s">
        <v>443</v>
      </c>
      <c r="D449" s="569" t="s">
        <v>97</v>
      </c>
      <c r="E449" s="58"/>
      <c r="F449" s="480"/>
      <c r="G449" s="480"/>
      <c r="H449" s="480"/>
      <c r="I449" s="480"/>
      <c r="J449" s="483"/>
      <c r="K449" s="250"/>
      <c r="L449" s="250"/>
      <c r="M449" s="250"/>
      <c r="N449" s="250"/>
      <c r="O449" s="484"/>
      <c r="P449" s="250"/>
    </row>
    <row r="450" spans="2:16">
      <c r="B450" s="570"/>
      <c r="C450" s="571" t="s">
        <v>710</v>
      </c>
      <c r="D450" s="522" t="s">
        <v>709</v>
      </c>
      <c r="E450" s="58"/>
      <c r="F450" s="480"/>
      <c r="G450" s="480"/>
      <c r="H450" s="480"/>
      <c r="I450" s="480"/>
      <c r="J450" s="483"/>
      <c r="K450" s="250"/>
      <c r="L450" s="250"/>
      <c r="M450" s="250"/>
      <c r="N450" s="250"/>
      <c r="O450" s="484"/>
      <c r="P450" s="250"/>
    </row>
    <row r="451" spans="2:16">
      <c r="B451" s="570"/>
      <c r="C451" s="571" t="s">
        <v>712</v>
      </c>
      <c r="D451" s="522" t="s">
        <v>711</v>
      </c>
      <c r="E451" s="58"/>
      <c r="F451" s="480"/>
      <c r="G451" s="480"/>
      <c r="H451" s="480"/>
      <c r="I451" s="480"/>
      <c r="J451" s="483"/>
      <c r="K451" s="250"/>
      <c r="L451" s="250"/>
      <c r="M451" s="250"/>
      <c r="N451" s="250"/>
      <c r="O451" s="484"/>
      <c r="P451" s="250"/>
    </row>
    <row r="452" spans="2:16">
      <c r="B452" s="291"/>
      <c r="C452" s="481"/>
      <c r="D452" s="482"/>
      <c r="E452" s="480"/>
      <c r="F452" s="480"/>
      <c r="G452" s="480"/>
      <c r="H452" s="480"/>
      <c r="I452" s="480"/>
      <c r="J452" s="483"/>
      <c r="K452" s="250"/>
      <c r="L452" s="250"/>
      <c r="M452" s="250"/>
      <c r="N452" s="250"/>
      <c r="O452" s="484"/>
      <c r="P452" s="250"/>
    </row>
    <row r="453" spans="2:16" s="343" customFormat="1" ht="31.5">
      <c r="B453" s="539" t="s">
        <v>1884</v>
      </c>
      <c r="C453" s="286" t="s">
        <v>713</v>
      </c>
      <c r="D453" s="347"/>
      <c r="E453" s="539" t="s">
        <v>1887</v>
      </c>
      <c r="F453" s="539" t="s">
        <v>714</v>
      </c>
      <c r="G453" s="280"/>
      <c r="H453" s="490" t="s">
        <v>122</v>
      </c>
      <c r="I453" s="280"/>
      <c r="J453" s="539" t="s">
        <v>715</v>
      </c>
      <c r="K453" s="250"/>
      <c r="L453" s="250"/>
      <c r="M453" s="250"/>
      <c r="N453" s="250"/>
      <c r="O453" s="484"/>
      <c r="P453" s="250"/>
    </row>
    <row r="454" spans="2:16">
      <c r="B454" s="539">
        <v>1</v>
      </c>
      <c r="C454" s="554" t="s">
        <v>98</v>
      </c>
      <c r="D454" s="554" t="s">
        <v>98</v>
      </c>
      <c r="E454" s="539" t="s">
        <v>548</v>
      </c>
      <c r="F454" s="572">
        <f>12-12</f>
        <v>0</v>
      </c>
      <c r="G454" s="280"/>
      <c r="H454" s="348">
        <v>1100</v>
      </c>
      <c r="I454" s="280"/>
      <c r="J454" s="348">
        <f>F454*H454</f>
        <v>0</v>
      </c>
      <c r="K454" s="250"/>
      <c r="L454" s="250"/>
      <c r="M454" s="250"/>
      <c r="N454" s="250"/>
      <c r="O454" s="484"/>
      <c r="P454" s="250"/>
    </row>
    <row r="455" spans="2:16">
      <c r="B455" s="539">
        <f>1+B454</f>
        <v>2</v>
      </c>
      <c r="C455" s="554" t="s">
        <v>716</v>
      </c>
      <c r="D455" s="554" t="s">
        <v>716</v>
      </c>
      <c r="E455" s="539" t="s">
        <v>548</v>
      </c>
      <c r="F455" s="572">
        <v>6</v>
      </c>
      <c r="G455" s="280"/>
      <c r="H455" s="348">
        <v>3194</v>
      </c>
      <c r="I455" s="280"/>
      <c r="J455" s="348">
        <f>F455*H455</f>
        <v>19164</v>
      </c>
      <c r="K455" s="250"/>
      <c r="L455" s="250"/>
      <c r="M455" s="250"/>
      <c r="N455" s="250"/>
      <c r="O455" s="484"/>
      <c r="P455" s="250"/>
    </row>
    <row r="456" spans="2:16">
      <c r="B456" s="539">
        <f>1+B455</f>
        <v>3</v>
      </c>
      <c r="C456" s="554" t="s">
        <v>99</v>
      </c>
      <c r="D456" s="554" t="s">
        <v>99</v>
      </c>
      <c r="E456" s="539" t="s">
        <v>717</v>
      </c>
      <c r="F456" s="572">
        <f>6-1</f>
        <v>5</v>
      </c>
      <c r="G456" s="280"/>
      <c r="H456" s="348">
        <v>3400</v>
      </c>
      <c r="I456" s="280"/>
      <c r="J456" s="348">
        <f>F456*H456</f>
        <v>17000</v>
      </c>
      <c r="K456" s="250"/>
      <c r="L456" s="250"/>
      <c r="M456" s="250"/>
      <c r="N456" s="250"/>
      <c r="O456" s="484"/>
      <c r="P456" s="250"/>
    </row>
    <row r="457" spans="2:16">
      <c r="B457" s="539">
        <f>1+B456</f>
        <v>4</v>
      </c>
      <c r="C457" s="554" t="s">
        <v>100</v>
      </c>
      <c r="D457" s="554" t="s">
        <v>100</v>
      </c>
      <c r="E457" s="539" t="s">
        <v>717</v>
      </c>
      <c r="F457" s="572">
        <f>6-1</f>
        <v>5</v>
      </c>
      <c r="G457" s="280"/>
      <c r="H457" s="348">
        <v>8500</v>
      </c>
      <c r="I457" s="280"/>
      <c r="J457" s="348">
        <f>F457*H457</f>
        <v>42500</v>
      </c>
      <c r="K457" s="250"/>
      <c r="L457" s="250"/>
      <c r="M457" s="250"/>
      <c r="N457" s="250"/>
      <c r="O457" s="484"/>
      <c r="P457" s="250"/>
    </row>
    <row r="458" spans="2:16">
      <c r="B458" s="539"/>
      <c r="C458" s="286"/>
      <c r="D458" s="347"/>
      <c r="E458" s="280"/>
      <c r="F458" s="348"/>
      <c r="G458" s="280"/>
      <c r="H458" s="348"/>
      <c r="I458" s="280"/>
      <c r="J458" s="573">
        <f>SUM(J454:J457)</f>
        <v>78664</v>
      </c>
      <c r="K458" s="250"/>
      <c r="L458" s="250"/>
      <c r="M458" s="250"/>
      <c r="N458" s="250"/>
      <c r="O458" s="484"/>
      <c r="P458" s="250"/>
    </row>
    <row r="459" spans="2:16">
      <c r="B459" s="291"/>
      <c r="C459" s="481"/>
      <c r="D459" s="482"/>
      <c r="E459" s="480"/>
      <c r="F459" s="480"/>
      <c r="G459" s="480"/>
      <c r="H459" s="480"/>
      <c r="I459" s="480"/>
      <c r="J459" s="483"/>
      <c r="K459" s="250"/>
      <c r="L459" s="250"/>
      <c r="M459" s="250"/>
      <c r="N459" s="250"/>
      <c r="O459" s="484"/>
      <c r="P459" s="250"/>
    </row>
    <row r="460" spans="2:16">
      <c r="B460" s="495"/>
      <c r="C460" s="540" t="s">
        <v>1842</v>
      </c>
      <c r="D460" s="536"/>
      <c r="E460" s="992" t="s">
        <v>1829</v>
      </c>
      <c r="F460" s="992"/>
      <c r="G460" s="993"/>
      <c r="H460" s="993"/>
      <c r="I460" s="501"/>
      <c r="J460" s="502"/>
      <c r="K460" s="526"/>
      <c r="L460" s="527"/>
      <c r="M460" s="526"/>
      <c r="N460" s="526"/>
      <c r="O460" s="528"/>
      <c r="P460" s="526"/>
    </row>
    <row r="461" spans="2:16">
      <c r="B461" s="291"/>
      <c r="C461" s="481"/>
      <c r="D461" s="482"/>
      <c r="E461" s="480"/>
      <c r="F461" s="480"/>
      <c r="G461" s="480"/>
      <c r="H461" s="480"/>
      <c r="I461" s="480"/>
      <c r="J461" s="483"/>
      <c r="K461" s="250"/>
      <c r="L461" s="250"/>
      <c r="M461" s="250"/>
      <c r="N461" s="250"/>
      <c r="O461" s="484"/>
      <c r="P461" s="250"/>
    </row>
    <row r="462" spans="2:16">
      <c r="B462" s="568"/>
      <c r="C462" s="485" t="s">
        <v>719</v>
      </c>
      <c r="D462" s="537" t="s">
        <v>718</v>
      </c>
      <c r="E462" s="250"/>
      <c r="F462" s="480"/>
      <c r="G462" s="480"/>
      <c r="H462" s="480"/>
      <c r="I462" s="480"/>
      <c r="J462" s="483"/>
      <c r="K462" s="250"/>
      <c r="L462" s="250"/>
      <c r="M462" s="250"/>
      <c r="N462" s="250"/>
      <c r="O462" s="484"/>
      <c r="P462" s="250"/>
    </row>
    <row r="463" spans="2:16">
      <c r="B463" s="570"/>
      <c r="C463" s="571" t="s">
        <v>721</v>
      </c>
      <c r="D463" s="495" t="s">
        <v>720</v>
      </c>
      <c r="E463" s="250"/>
      <c r="F463" s="480"/>
      <c r="G463" s="480"/>
      <c r="H463" s="480"/>
      <c r="I463" s="480"/>
      <c r="J463" s="483"/>
      <c r="K463" s="250"/>
      <c r="L463" s="250"/>
      <c r="M463" s="250"/>
      <c r="N463" s="250"/>
      <c r="O463" s="484"/>
      <c r="P463" s="250"/>
    </row>
    <row r="464" spans="2:16" s="343" customFormat="1">
      <c r="B464" s="570"/>
      <c r="C464" s="571" t="s">
        <v>723</v>
      </c>
      <c r="D464" s="495" t="s">
        <v>722</v>
      </c>
      <c r="E464" s="250"/>
      <c r="F464" s="480"/>
      <c r="G464" s="480"/>
      <c r="H464" s="480"/>
      <c r="I464" s="480"/>
      <c r="J464" s="483"/>
      <c r="K464" s="250"/>
      <c r="L464" s="250"/>
      <c r="M464" s="250"/>
      <c r="N464" s="250"/>
      <c r="O464" s="484"/>
      <c r="P464" s="250"/>
    </row>
    <row r="465" spans="2:19" s="343" customFormat="1" ht="15.75" customHeight="1">
      <c r="B465" s="570"/>
      <c r="C465" s="571" t="s">
        <v>725</v>
      </c>
      <c r="D465" s="495" t="s">
        <v>724</v>
      </c>
      <c r="E465" s="250"/>
      <c r="F465" s="480"/>
      <c r="G465" s="480"/>
      <c r="H465" s="480"/>
      <c r="I465" s="480"/>
      <c r="J465" s="483"/>
      <c r="K465" s="250"/>
      <c r="L465" s="250"/>
      <c r="M465" s="250"/>
      <c r="N465" s="250"/>
      <c r="O465" s="484"/>
      <c r="P465" s="250"/>
    </row>
    <row r="466" spans="2:19" s="343" customFormat="1">
      <c r="B466" s="291"/>
      <c r="C466" s="481"/>
      <c r="D466" s="482"/>
      <c r="E466" s="480"/>
      <c r="F466" s="480"/>
      <c r="G466" s="480"/>
      <c r="H466" s="480"/>
      <c r="I466" s="480"/>
      <c r="J466" s="483"/>
      <c r="K466" s="250"/>
      <c r="L466" s="250"/>
      <c r="M466" s="250"/>
      <c r="N466" s="250"/>
      <c r="O466" s="484"/>
      <c r="P466" s="250"/>
    </row>
    <row r="467" spans="2:19" s="305" customFormat="1" ht="31.5">
      <c r="B467" s="539" t="s">
        <v>1884</v>
      </c>
      <c r="C467" s="286" t="s">
        <v>713</v>
      </c>
      <c r="D467" s="347"/>
      <c r="E467" s="539" t="s">
        <v>1887</v>
      </c>
      <c r="F467" s="539" t="s">
        <v>714</v>
      </c>
      <c r="G467" s="280"/>
      <c r="H467" s="490" t="s">
        <v>122</v>
      </c>
      <c r="I467" s="280"/>
      <c r="J467" s="539" t="s">
        <v>715</v>
      </c>
      <c r="K467" s="250"/>
      <c r="L467" s="250"/>
      <c r="M467" s="250"/>
      <c r="N467" s="250"/>
      <c r="O467" s="484"/>
      <c r="P467" s="250"/>
      <c r="Q467" s="300"/>
      <c r="S467" s="672"/>
    </row>
    <row r="468" spans="2:19" s="340" customFormat="1">
      <c r="B468" s="539">
        <v>1</v>
      </c>
      <c r="C468" s="286" t="s">
        <v>726</v>
      </c>
      <c r="D468" s="347"/>
      <c r="E468" s="539" t="s">
        <v>1965</v>
      </c>
      <c r="F468" s="572">
        <v>16</v>
      </c>
      <c r="G468" s="280"/>
      <c r="H468" s="348">
        <v>482</v>
      </c>
      <c r="I468" s="280"/>
      <c r="J468" s="348">
        <f>F468*H468</f>
        <v>7712</v>
      </c>
      <c r="K468" s="250"/>
      <c r="L468" s="250"/>
      <c r="M468" s="250"/>
      <c r="N468" s="250"/>
      <c r="O468" s="484"/>
      <c r="P468" s="250"/>
      <c r="Q468" s="682"/>
      <c r="S468" s="339"/>
    </row>
    <row r="469" spans="2:19" s="340" customFormat="1">
      <c r="B469" s="539">
        <f>1+B468</f>
        <v>2</v>
      </c>
      <c r="C469" s="286" t="s">
        <v>727</v>
      </c>
      <c r="D469" s="347"/>
      <c r="E469" s="539" t="s">
        <v>1965</v>
      </c>
      <c r="F469" s="572">
        <v>12</v>
      </c>
      <c r="G469" s="280"/>
      <c r="H469" s="348">
        <v>306</v>
      </c>
      <c r="I469" s="280"/>
      <c r="J469" s="348">
        <f>F469*H469</f>
        <v>3672</v>
      </c>
      <c r="K469" s="250"/>
      <c r="L469" s="250"/>
      <c r="M469" s="250"/>
      <c r="N469" s="250"/>
      <c r="O469" s="484"/>
      <c r="P469" s="250"/>
      <c r="Q469" s="682"/>
      <c r="S469" s="339"/>
    </row>
    <row r="470" spans="2:19" s="340" customFormat="1">
      <c r="B470" s="539"/>
      <c r="C470" s="286"/>
      <c r="D470" s="347"/>
      <c r="E470" s="539"/>
      <c r="F470" s="348"/>
      <c r="G470" s="280"/>
      <c r="H470" s="348"/>
      <c r="I470" s="280"/>
      <c r="J470" s="573">
        <f>SUM(J468:J469)</f>
        <v>11384</v>
      </c>
      <c r="K470" s="250"/>
      <c r="L470" s="250"/>
      <c r="M470" s="250"/>
      <c r="N470" s="250"/>
      <c r="O470" s="484"/>
      <c r="P470" s="250"/>
      <c r="Q470" s="682"/>
      <c r="S470" s="339"/>
    </row>
    <row r="471" spans="2:19" s="340" customFormat="1">
      <c r="B471" s="495"/>
      <c r="C471" s="485"/>
      <c r="D471" s="535"/>
      <c r="E471" s="495"/>
      <c r="F471" s="495"/>
      <c r="G471" s="495"/>
      <c r="H471" s="495"/>
      <c r="I471" s="501"/>
      <c r="J471" s="502"/>
      <c r="K471" s="526"/>
      <c r="L471" s="527"/>
      <c r="M471" s="526"/>
      <c r="N471" s="526"/>
      <c r="O471" s="528"/>
      <c r="P471" s="526"/>
      <c r="Q471" s="682"/>
      <c r="S471" s="339"/>
    </row>
    <row r="472" spans="2:19" s="340" customFormat="1">
      <c r="B472" s="495"/>
      <c r="C472" s="540" t="s">
        <v>1842</v>
      </c>
      <c r="D472" s="536"/>
      <c r="E472" s="992" t="s">
        <v>1829</v>
      </c>
      <c r="F472" s="992"/>
      <c r="G472" s="993"/>
      <c r="H472" s="993"/>
      <c r="I472" s="501"/>
      <c r="J472" s="502"/>
      <c r="K472" s="526"/>
      <c r="L472" s="527"/>
      <c r="M472" s="526"/>
      <c r="N472" s="526"/>
      <c r="O472" s="528"/>
      <c r="P472" s="526"/>
      <c r="Q472" s="682"/>
      <c r="S472" s="339"/>
    </row>
    <row r="473" spans="2:19" s="340" customFormat="1">
      <c r="B473" s="495"/>
      <c r="C473" s="538" t="s">
        <v>558</v>
      </c>
      <c r="D473" s="486" t="s">
        <v>558</v>
      </c>
      <c r="E473" s="544"/>
      <c r="F473" s="495"/>
      <c r="G473" s="495"/>
      <c r="H473" s="495"/>
      <c r="I473" s="501"/>
      <c r="J473" s="502"/>
      <c r="K473" s="526"/>
      <c r="L473" s="527"/>
      <c r="M473" s="526"/>
      <c r="N473" s="526"/>
      <c r="O473" s="528"/>
      <c r="P473" s="526"/>
      <c r="Q473" s="682"/>
      <c r="S473" s="339"/>
    </row>
    <row r="474" spans="2:19" s="339" customFormat="1">
      <c r="B474" s="495"/>
      <c r="C474" s="524" t="s">
        <v>559</v>
      </c>
      <c r="D474" s="535"/>
      <c r="E474" s="495"/>
      <c r="F474" s="495"/>
      <c r="G474" s="495"/>
      <c r="H474" s="495"/>
      <c r="I474" s="501"/>
      <c r="J474" s="502"/>
      <c r="K474" s="526"/>
      <c r="L474" s="527"/>
      <c r="M474" s="526"/>
      <c r="N474" s="526"/>
      <c r="O474" s="528"/>
      <c r="P474" s="526"/>
      <c r="Q474" s="683"/>
    </row>
    <row r="475" spans="2:19" s="339" customFormat="1" ht="6" customHeight="1">
      <c r="B475" s="495"/>
      <c r="C475" s="521"/>
      <c r="D475" s="535"/>
      <c r="E475" s="495"/>
      <c r="F475" s="495"/>
      <c r="G475" s="495"/>
      <c r="H475" s="495"/>
      <c r="I475" s="501"/>
      <c r="J475" s="502"/>
      <c r="K475" s="526"/>
      <c r="L475" s="527"/>
      <c r="M475" s="526"/>
      <c r="N475" s="526"/>
      <c r="O475" s="528"/>
      <c r="P475" s="526"/>
      <c r="Q475" s="683"/>
    </row>
    <row r="476" spans="2:19" s="339" customFormat="1" ht="31.5">
      <c r="B476" s="513" t="s">
        <v>1884</v>
      </c>
      <c r="C476" s="116" t="s">
        <v>1961</v>
      </c>
      <c r="D476" s="514"/>
      <c r="E476" s="680" t="s">
        <v>1887</v>
      </c>
      <c r="F476" s="490" t="s">
        <v>1962</v>
      </c>
      <c r="G476" s="490" t="s">
        <v>1963</v>
      </c>
      <c r="H476" s="490" t="s">
        <v>122</v>
      </c>
      <c r="I476" s="491" t="s">
        <v>1964</v>
      </c>
      <c r="J476" s="492" t="s">
        <v>584</v>
      </c>
      <c r="K476" s="526"/>
      <c r="L476" s="527"/>
      <c r="M476" s="526"/>
      <c r="N476" s="526"/>
      <c r="O476" s="528"/>
      <c r="P476" s="526"/>
      <c r="Q476" s="683"/>
    </row>
    <row r="477" spans="2:19" s="339" customFormat="1">
      <c r="B477" s="539">
        <v>1</v>
      </c>
      <c r="C477" s="574" t="s">
        <v>101</v>
      </c>
      <c r="D477" s="574" t="s">
        <v>102</v>
      </c>
      <c r="E477" s="259" t="s">
        <v>1003</v>
      </c>
      <c r="F477" s="259">
        <v>5.5</v>
      </c>
      <c r="G477" s="280"/>
      <c r="H477" s="280">
        <f>2618/5.5</f>
        <v>476</v>
      </c>
      <c r="I477" s="282"/>
      <c r="J477" s="293">
        <f>F477*H477</f>
        <v>2618</v>
      </c>
      <c r="K477" s="526"/>
      <c r="L477" s="527"/>
      <c r="M477" s="526"/>
      <c r="N477" s="526"/>
      <c r="O477" s="528"/>
      <c r="P477" s="526"/>
      <c r="Q477" s="683"/>
    </row>
    <row r="478" spans="2:19" s="339" customFormat="1">
      <c r="B478" s="280"/>
      <c r="C478" s="519"/>
      <c r="D478" s="284"/>
      <c r="E478" s="280"/>
      <c r="F478" s="280"/>
      <c r="G478" s="280"/>
      <c r="H478" s="280"/>
      <c r="I478" s="285"/>
      <c r="J478" s="293">
        <f>SUM(J477:J477)</f>
        <v>2618</v>
      </c>
      <c r="K478" s="526"/>
      <c r="L478" s="527"/>
      <c r="M478" s="526"/>
      <c r="N478" s="526"/>
      <c r="O478" s="528"/>
      <c r="P478" s="526"/>
      <c r="Q478" s="683"/>
    </row>
    <row r="479" spans="2:19" s="340" customFormat="1">
      <c r="B479" s="495"/>
      <c r="C479" s="521"/>
      <c r="D479" s="535"/>
      <c r="E479" s="495"/>
      <c r="F479" s="495"/>
      <c r="G479" s="495"/>
      <c r="H479" s="495"/>
      <c r="I479" s="501"/>
      <c r="J479" s="502"/>
      <c r="K479" s="526"/>
      <c r="L479" s="527"/>
      <c r="M479" s="526"/>
      <c r="N479" s="526"/>
      <c r="O479" s="528"/>
      <c r="P479" s="526"/>
      <c r="Q479" s="682"/>
      <c r="S479" s="339"/>
    </row>
    <row r="480" spans="2:19" s="340" customFormat="1">
      <c r="B480" s="495"/>
      <c r="C480" s="540" t="s">
        <v>1842</v>
      </c>
      <c r="D480" s="536"/>
      <c r="E480" s="992" t="s">
        <v>1829</v>
      </c>
      <c r="F480" s="992"/>
      <c r="G480" s="993"/>
      <c r="H480" s="993"/>
      <c r="I480" s="501"/>
      <c r="J480" s="502"/>
      <c r="K480" s="526"/>
      <c r="L480" s="527"/>
      <c r="M480" s="526"/>
      <c r="N480" s="526"/>
      <c r="O480" s="528"/>
      <c r="P480" s="526"/>
      <c r="Q480" s="682"/>
      <c r="S480" s="339"/>
    </row>
    <row r="481" spans="2:16">
      <c r="B481" s="495"/>
      <c r="C481" s="485"/>
      <c r="D481" s="535"/>
      <c r="E481" s="495"/>
      <c r="F481" s="495"/>
      <c r="G481" s="495"/>
      <c r="H481" s="495"/>
      <c r="I481" s="501"/>
      <c r="J481" s="502"/>
      <c r="K481" s="526"/>
      <c r="L481" s="58"/>
      <c r="M481" s="58"/>
      <c r="N481" s="58"/>
      <c r="O481" s="264"/>
      <c r="P481" s="58"/>
    </row>
    <row r="482" spans="2:16" ht="15">
      <c r="B482" s="263"/>
      <c r="C482" s="575" t="s">
        <v>1540</v>
      </c>
      <c r="D482" s="678"/>
      <c r="E482" s="477"/>
      <c r="F482" s="477"/>
      <c r="G482" s="477"/>
      <c r="H482" s="477"/>
      <c r="I482" s="477"/>
      <c r="J482" s="673" t="s">
        <v>1590</v>
      </c>
      <c r="K482" s="526"/>
      <c r="L482" s="58"/>
      <c r="M482" s="58"/>
      <c r="N482" s="58"/>
      <c r="O482" s="264"/>
      <c r="P482" s="58"/>
    </row>
    <row r="483" spans="2:16" ht="15">
      <c r="B483" s="263"/>
      <c r="C483" s="576" t="s">
        <v>1284</v>
      </c>
      <c r="D483" s="577" t="s">
        <v>735</v>
      </c>
      <c r="E483" s="477"/>
      <c r="F483" s="477"/>
      <c r="G483" s="477"/>
      <c r="H483" s="477"/>
      <c r="I483" s="477"/>
      <c r="J483" s="674">
        <f>J116</f>
        <v>903194.34999999986</v>
      </c>
      <c r="K483" s="526"/>
      <c r="L483" s="58"/>
      <c r="M483" s="58"/>
      <c r="N483" s="58"/>
      <c r="O483" s="264"/>
      <c r="P483" s="58"/>
    </row>
    <row r="484" spans="2:16" ht="26.25">
      <c r="B484" s="263"/>
      <c r="C484" s="576" t="s">
        <v>1284</v>
      </c>
      <c r="D484" s="577" t="s">
        <v>941</v>
      </c>
      <c r="E484" s="477"/>
      <c r="F484" s="477"/>
      <c r="G484" s="477"/>
      <c r="H484" s="477"/>
      <c r="I484" s="477"/>
      <c r="J484" s="674">
        <f>J133</f>
        <v>299989</v>
      </c>
      <c r="K484" s="526"/>
      <c r="L484" s="58"/>
      <c r="M484" s="58"/>
      <c r="N484" s="58"/>
      <c r="O484" s="264"/>
      <c r="P484" s="58"/>
    </row>
    <row r="485" spans="2:16" ht="15">
      <c r="B485" s="263"/>
      <c r="C485" s="576" t="s">
        <v>1284</v>
      </c>
      <c r="D485" s="577" t="s">
        <v>963</v>
      </c>
      <c r="E485" s="477"/>
      <c r="F485" s="477"/>
      <c r="G485" s="477"/>
      <c r="H485" s="477"/>
      <c r="I485" s="477"/>
      <c r="J485" s="674">
        <f>J183</f>
        <v>971069.96</v>
      </c>
      <c r="K485" s="526"/>
      <c r="L485" s="58"/>
      <c r="M485" s="58"/>
      <c r="N485" s="58"/>
      <c r="O485" s="264"/>
      <c r="P485" s="58"/>
    </row>
    <row r="486" spans="2:16" ht="15">
      <c r="B486" s="263"/>
      <c r="C486" s="576" t="s">
        <v>1284</v>
      </c>
      <c r="D486" s="577" t="s">
        <v>103</v>
      </c>
      <c r="E486" s="477"/>
      <c r="F486" s="477"/>
      <c r="G486" s="477"/>
      <c r="H486" s="477"/>
      <c r="I486" s="477"/>
      <c r="J486" s="674">
        <f>J242</f>
        <v>141188.79999999999</v>
      </c>
      <c r="K486" s="526"/>
      <c r="L486" s="58"/>
      <c r="M486" s="58"/>
      <c r="N486" s="58"/>
      <c r="O486" s="264"/>
      <c r="P486" s="58"/>
    </row>
    <row r="487" spans="2:16" ht="15">
      <c r="B487" s="263"/>
      <c r="C487" s="576" t="s">
        <v>1284</v>
      </c>
      <c r="D487" s="577" t="s">
        <v>47</v>
      </c>
      <c r="E487" s="477"/>
      <c r="F487" s="477"/>
      <c r="G487" s="477"/>
      <c r="H487" s="477"/>
      <c r="I487" s="477"/>
      <c r="J487" s="674">
        <f>J264</f>
        <v>130800</v>
      </c>
      <c r="K487" s="526"/>
      <c r="L487" s="58"/>
      <c r="M487" s="58"/>
      <c r="N487" s="58"/>
      <c r="O487" s="264"/>
      <c r="P487" s="58"/>
    </row>
    <row r="488" spans="2:16" ht="15">
      <c r="B488" s="263"/>
      <c r="C488" s="576" t="s">
        <v>378</v>
      </c>
      <c r="D488" s="577" t="s">
        <v>558</v>
      </c>
      <c r="E488" s="477"/>
      <c r="F488" s="477"/>
      <c r="G488" s="477"/>
      <c r="H488" s="477"/>
      <c r="I488" s="477"/>
      <c r="J488" s="674">
        <f>J252</f>
        <v>46900</v>
      </c>
      <c r="K488" s="526"/>
      <c r="L488" s="58"/>
      <c r="M488" s="58"/>
      <c r="N488" s="58"/>
      <c r="O488" s="264"/>
      <c r="P488" s="58"/>
    </row>
    <row r="489" spans="2:16" ht="15">
      <c r="B489" s="263"/>
      <c r="C489" s="576"/>
      <c r="D489" s="679" t="s">
        <v>102</v>
      </c>
      <c r="E489" s="477"/>
      <c r="F489" s="477"/>
      <c r="G489" s="477"/>
      <c r="H489" s="477"/>
      <c r="I489" s="477"/>
      <c r="J489" s="674">
        <f>J478</f>
        <v>2618</v>
      </c>
      <c r="K489" s="526"/>
      <c r="L489" s="58"/>
      <c r="M489" s="58"/>
      <c r="N489" s="58"/>
      <c r="O489" s="264"/>
      <c r="P489" s="58"/>
    </row>
    <row r="490" spans="2:16" ht="15">
      <c r="B490" s="263"/>
      <c r="C490" s="576"/>
      <c r="D490" s="529"/>
      <c r="E490" s="477"/>
      <c r="F490" s="477"/>
      <c r="G490" s="477"/>
      <c r="H490" s="477"/>
      <c r="I490" s="477"/>
      <c r="J490" s="675"/>
      <c r="K490" s="526"/>
      <c r="L490" s="58"/>
      <c r="M490" s="58"/>
      <c r="N490" s="58"/>
      <c r="O490" s="264"/>
      <c r="P490" s="58"/>
    </row>
    <row r="491" spans="2:16" ht="15">
      <c r="B491" s="263"/>
      <c r="C491" s="576" t="s">
        <v>533</v>
      </c>
      <c r="D491" s="529"/>
      <c r="E491" s="477"/>
      <c r="F491" s="266"/>
      <c r="G491" s="477"/>
      <c r="H491" s="477"/>
      <c r="I491" s="477"/>
      <c r="J491" s="673">
        <f>SUM(J483:J490)</f>
        <v>2495760.1099999994</v>
      </c>
      <c r="K491" s="526"/>
      <c r="L491" s="58"/>
      <c r="M491" s="58"/>
      <c r="N491" s="58"/>
      <c r="O491" s="264"/>
      <c r="P491" s="58"/>
    </row>
    <row r="492" spans="2:16" ht="15">
      <c r="B492" s="263"/>
      <c r="C492" s="576"/>
      <c r="D492" s="529"/>
      <c r="E492" s="477"/>
      <c r="F492" s="477"/>
      <c r="G492" s="477"/>
      <c r="H492" s="477"/>
      <c r="I492" s="477"/>
      <c r="J492" s="673"/>
      <c r="K492" s="526"/>
      <c r="L492" s="58"/>
      <c r="M492" s="58"/>
      <c r="N492" s="58"/>
      <c r="O492" s="264"/>
      <c r="P492" s="58"/>
    </row>
    <row r="493" spans="2:16" ht="15">
      <c r="B493" s="263"/>
      <c r="C493" s="576" t="s">
        <v>1285</v>
      </c>
      <c r="D493" s="585" t="s">
        <v>104</v>
      </c>
      <c r="E493" s="477"/>
      <c r="F493" s="477"/>
      <c r="G493" s="477"/>
      <c r="H493" s="494"/>
      <c r="I493" s="477"/>
      <c r="J493" s="674">
        <f>J421</f>
        <v>998109.29000000015</v>
      </c>
      <c r="K493" s="526"/>
      <c r="L493" s="58"/>
      <c r="M493" s="58"/>
      <c r="N493" s="58"/>
      <c r="O493" s="264"/>
      <c r="P493" s="58"/>
    </row>
    <row r="494" spans="2:16" ht="26.25">
      <c r="B494" s="263"/>
      <c r="C494" s="578" t="s">
        <v>105</v>
      </c>
      <c r="D494" s="585" t="s">
        <v>106</v>
      </c>
      <c r="E494" s="477"/>
      <c r="F494" s="477"/>
      <c r="G494" s="477"/>
      <c r="H494" s="477"/>
      <c r="I494" s="477"/>
      <c r="J494" s="674">
        <f>J444</f>
        <v>33870.32</v>
      </c>
      <c r="K494" s="526"/>
      <c r="L494" s="58"/>
      <c r="M494" s="58"/>
      <c r="N494" s="58"/>
      <c r="O494" s="264"/>
      <c r="P494" s="58"/>
    </row>
    <row r="495" spans="2:16" ht="15">
      <c r="B495" s="263"/>
      <c r="C495" s="576" t="s">
        <v>1285</v>
      </c>
      <c r="D495" s="370" t="s">
        <v>107</v>
      </c>
      <c r="E495" s="477"/>
      <c r="F495" s="477"/>
      <c r="G495" s="477"/>
      <c r="H495" s="494"/>
      <c r="I495" s="477"/>
      <c r="J495" s="674">
        <f>J433</f>
        <v>22200</v>
      </c>
      <c r="K495" s="526"/>
      <c r="L495" s="58"/>
      <c r="M495" s="58"/>
      <c r="N495" s="58"/>
      <c r="O495" s="264"/>
      <c r="P495" s="58"/>
    </row>
    <row r="496" spans="2:16" ht="28.5">
      <c r="B496" s="263"/>
      <c r="C496" s="576" t="s">
        <v>728</v>
      </c>
      <c r="D496" s="370" t="s">
        <v>97</v>
      </c>
      <c r="E496" s="477"/>
      <c r="F496" s="477"/>
      <c r="G496" s="477"/>
      <c r="H496" s="494"/>
      <c r="I496" s="477"/>
      <c r="J496" s="674">
        <f>J458</f>
        <v>78664</v>
      </c>
      <c r="K496" s="526"/>
      <c r="L496" s="58"/>
      <c r="M496" s="58"/>
      <c r="N496" s="58"/>
      <c r="O496" s="264"/>
      <c r="P496" s="58"/>
    </row>
    <row r="497" spans="2:20" ht="28.5">
      <c r="B497" s="263"/>
      <c r="C497" s="576" t="s">
        <v>728</v>
      </c>
      <c r="D497" s="529"/>
      <c r="E497" s="477"/>
      <c r="F497" s="477"/>
      <c r="G497" s="477"/>
      <c r="H497" s="477"/>
      <c r="I497" s="477"/>
      <c r="J497" s="674">
        <f>J470</f>
        <v>11384</v>
      </c>
      <c r="K497" s="526"/>
      <c r="L497" s="58"/>
      <c r="M497" s="58"/>
      <c r="N497" s="58"/>
      <c r="O497" s="264"/>
      <c r="P497" s="58"/>
    </row>
    <row r="498" spans="2:20" ht="15">
      <c r="B498" s="263"/>
      <c r="C498" s="576" t="s">
        <v>1286</v>
      </c>
      <c r="D498" s="529" t="s">
        <v>108</v>
      </c>
      <c r="E498" s="477"/>
      <c r="F498" s="477"/>
      <c r="G498" s="477"/>
      <c r="H498" s="477"/>
      <c r="I498" s="477"/>
      <c r="J498" s="674">
        <f>J291</f>
        <v>121076</v>
      </c>
      <c r="K498" s="526"/>
      <c r="L498" s="58"/>
      <c r="M498" s="58"/>
      <c r="N498" s="58"/>
      <c r="O498" s="264"/>
      <c r="P498" s="58"/>
    </row>
    <row r="499" spans="2:20" ht="15">
      <c r="B499" s="477"/>
      <c r="C499" s="579"/>
      <c r="D499" s="265"/>
      <c r="E499" s="477"/>
      <c r="F499" s="477"/>
      <c r="G499" s="477"/>
      <c r="H499" s="477"/>
      <c r="I499" s="477"/>
      <c r="J499" s="675"/>
      <c r="K499" s="526"/>
      <c r="L499" s="58"/>
      <c r="M499" s="58"/>
      <c r="N499" s="58"/>
      <c r="O499" s="264"/>
      <c r="P499" s="58"/>
    </row>
    <row r="500" spans="2:20" ht="15">
      <c r="B500" s="477"/>
      <c r="C500" s="579"/>
      <c r="D500" s="265"/>
      <c r="E500" s="477"/>
      <c r="F500" s="477"/>
      <c r="G500" s="477"/>
      <c r="H500" s="477"/>
      <c r="I500" s="477"/>
      <c r="J500" s="673">
        <f>SUM(J491:J499)</f>
        <v>3761063.7199999993</v>
      </c>
      <c r="K500" s="526"/>
      <c r="L500" s="58"/>
      <c r="M500" s="58"/>
      <c r="N500" s="58"/>
      <c r="O500" s="264"/>
      <c r="P500" s="58"/>
      <c r="T500" s="391">
        <f>J500-R500</f>
        <v>3761063.7199999993</v>
      </c>
    </row>
    <row r="501" spans="2:20" ht="15">
      <c r="B501" s="264"/>
      <c r="C501" s="580"/>
      <c r="D501" s="581"/>
      <c r="E501" s="264"/>
      <c r="F501" s="264"/>
      <c r="G501" s="264"/>
      <c r="H501" s="264"/>
      <c r="I501" s="264"/>
      <c r="J501" s="582">
        <f>J116+J133+J183+J242+J252+J264+J291+J421+J458+J470+J433+J444+J478</f>
        <v>3761063.7199999993</v>
      </c>
      <c r="K501" s="526"/>
      <c r="L501" s="58"/>
      <c r="M501" s="58"/>
      <c r="N501" s="58"/>
      <c r="O501" s="264"/>
      <c r="P501" s="58"/>
    </row>
    <row r="502" spans="2:20" ht="15">
      <c r="B502" s="264"/>
      <c r="C502" s="580"/>
      <c r="D502" s="581"/>
      <c r="E502" s="264"/>
      <c r="F502" s="264"/>
      <c r="G502" s="264"/>
      <c r="H502" s="264"/>
      <c r="I502" s="264"/>
      <c r="J502" s="582">
        <f>J501-J500</f>
        <v>0</v>
      </c>
      <c r="K502" s="526"/>
      <c r="L502" s="58"/>
      <c r="M502" s="58"/>
      <c r="N502" s="58"/>
      <c r="O502" s="264"/>
      <c r="P502" s="58"/>
    </row>
    <row r="503" spans="2:20" ht="15">
      <c r="B503" s="264"/>
      <c r="C503" s="580"/>
      <c r="D503" s="581"/>
      <c r="E503" s="264"/>
      <c r="F503" s="264"/>
      <c r="G503" s="264"/>
      <c r="H503" s="264"/>
      <c r="I503" s="264"/>
      <c r="J503" s="582"/>
      <c r="K503" s="526"/>
      <c r="L503" s="58"/>
      <c r="M503" s="58"/>
      <c r="N503" s="58"/>
      <c r="O503" s="264"/>
      <c r="P503" s="58"/>
    </row>
    <row r="504" spans="2:20">
      <c r="J504" s="677"/>
      <c r="K504" s="526"/>
    </row>
    <row r="507" spans="2:20">
      <c r="J507" s="677"/>
    </row>
  </sheetData>
  <mergeCells count="9">
    <mergeCell ref="E472:H472"/>
    <mergeCell ref="E480:H480"/>
    <mergeCell ref="E254:H254"/>
    <mergeCell ref="E266:H266"/>
    <mergeCell ref="E293:H293"/>
    <mergeCell ref="E423:H423"/>
    <mergeCell ref="E435:H435"/>
    <mergeCell ref="E446:H446"/>
    <mergeCell ref="E460:H460"/>
  </mergeCells>
  <phoneticPr fontId="55" type="noConversion"/>
  <hyperlinks>
    <hyperlink ref="C246" r:id="rId1" display="https://prozorro.gov.ua/tender/UA-2022-11-15-000746-a"/>
    <hyperlink ref="D137" r:id="rId2" display="https://prozorro.gov.ua/tender/UA-2023-02-15-008923-a"/>
    <hyperlink ref="D2" r:id="rId3" display="https://prozorro.gov.ua/tender/UA-2023-02-14-014990-a"/>
    <hyperlink ref="D246" r:id="rId4" display="https://prozorro.gov.ua/tender/UA-2023-02-17-001227-a"/>
    <hyperlink ref="D120" r:id="rId5" display="https://prozorro.gov.ua/tender/UA-2023-02-08-011239-a"/>
    <hyperlink ref="D256" r:id="rId6" display="https://prozorro.gov.ua/tender/UA-2023-02-13-007961-a"/>
    <hyperlink ref="D188" r:id="rId7" display="https://prozorro.gov.ua/tender/UA-2023-02-21-003469-a"/>
    <hyperlink ref="D483" r:id="rId8" display="https://prozorro.gov.ua/tender/UA-2023-02-14-014990-a"/>
    <hyperlink ref="D484" r:id="rId9" display="https://prozorro.gov.ua/tender/UA-2023-02-08-011239-a"/>
    <hyperlink ref="D485" r:id="rId10" display="https://prozorro.gov.ua/tender/UA-2023-02-15-008923-a"/>
    <hyperlink ref="D486" r:id="rId11" display="https://prozorro.gov.ua/tender/UA-2023-02-21-003469-a"/>
    <hyperlink ref="D487" r:id="rId12" display="https://prozorro.gov.ua/tender/UA-2023-02-13-007961-a"/>
    <hyperlink ref="D488" r:id="rId13" display="https://prozorro.gov.ua/tender/UA-2023-02-17-001227-a"/>
    <hyperlink ref="D449" r:id="rId14" display="https://prozorro.gov.ua/tender/UA-2023-03-02-006915-a"/>
    <hyperlink ref="D269" r:id="rId15" display="https://prozorro.gov.ua/tender/UA-2023-03-08-007447-a"/>
    <hyperlink ref="D295" r:id="rId16" display="https://prozorro.gov.ua/tender/UA-2023-03-15-007710-a"/>
    <hyperlink ref="D493" r:id="rId17" display="https://prozorro.gov.ua/tender/UA-2023-03-15-007710-a"/>
    <hyperlink ref="D494" r:id="rId18" display="https://prozorro.gov.ua/plan/UA-P-2023-03-21-000467-c"/>
    <hyperlink ref="D437" r:id="rId19" display="https://prozorro.gov.ua/plan/UA-P-2023-03-21-000467-c"/>
    <hyperlink ref="C437" r:id="rId20" display="https://prozorro.gov.ua/plan/UA-P-2023-03-21-000467-c"/>
    <hyperlink ref="C494" r:id="rId21" display="https://prozorro.gov.ua/plan/UA-P-2023-03-21-000467-c"/>
    <hyperlink ref="D425" r:id="rId22" display="https://prozorro.gov.ua/tender/UA-2023-04-07-009129-a"/>
    <hyperlink ref="D489" r:id="rId23" display="https://prozorro.gov.ua/plan/UA-P-2023-05-15-005169-b"/>
    <hyperlink ref="C473" r:id="rId24" display="https://prozorro.gov.ua/tender/UA-2022-11-15-000746-a"/>
    <hyperlink ref="D473" r:id="rId25" display="https://prozorro.gov.ua/tender/UA-2023-02-17-001227-a"/>
    <hyperlink ref="C477" r:id="rId26" display="https://prozorro.gov.ua/plan/UA-P-2023-05-15-005169-b"/>
    <hyperlink ref="D477" r:id="rId27" display="https://prozorro.gov.ua/plan/UA-P-2023-05-15-005169-b"/>
  </hyperlinks>
  <pageMargins left="0" right="0" top="0" bottom="0" header="0" footer="0"/>
  <pageSetup paperSize="9" scale="66" fitToHeight="100" orientation="landscape" r:id="rId28"/>
  <rowBreaks count="6" manualBreakCount="6">
    <brk id="142" min="1" max="9" man="1"/>
    <brk id="197" min="1" max="9" man="1"/>
    <brk id="257" min="1" max="9" man="1"/>
    <brk id="283" min="1" max="9" man="1"/>
    <brk id="312" min="1" max="9" man="1"/>
    <brk id="465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53"/>
  <sheetViews>
    <sheetView view="pageBreakPreview" zoomScale="80" zoomScaleNormal="100" zoomScaleSheetLayoutView="80" workbookViewId="0">
      <selection activeCell="F45" sqref="F45"/>
    </sheetView>
  </sheetViews>
  <sheetFormatPr defaultRowHeight="15"/>
  <cols>
    <col min="2" max="2" width="33" style="342" customWidth="1"/>
    <col min="3" max="3" width="13.7109375" style="466" bestFit="1" customWidth="1"/>
    <col min="4" max="4" width="74.7109375" style="465" bestFit="1" customWidth="1"/>
    <col min="5" max="5" width="25.85546875" style="594" customWidth="1"/>
    <col min="6" max="7" width="33" style="594" customWidth="1"/>
  </cols>
  <sheetData>
    <row r="1" spans="2:10" s="299" customFormat="1" ht="18.75">
      <c r="B1" s="294" t="s">
        <v>1889</v>
      </c>
      <c r="C1" s="295"/>
      <c r="D1" s="296"/>
      <c r="E1" s="297"/>
      <c r="F1" s="297"/>
      <c r="G1" s="593"/>
    </row>
    <row r="2" spans="2:10" s="299" customFormat="1" ht="18.75">
      <c r="B2" s="295" t="s">
        <v>1890</v>
      </c>
      <c r="C2" s="295"/>
      <c r="D2" s="296"/>
      <c r="E2" s="297"/>
      <c r="F2" s="297"/>
      <c r="G2" s="298"/>
    </row>
    <row r="3" spans="2:10" ht="16.5">
      <c r="B3" s="272" t="s">
        <v>1282</v>
      </c>
      <c r="C3" s="273"/>
      <c r="D3" s="272"/>
      <c r="E3" s="274"/>
      <c r="F3" s="275"/>
      <c r="G3" s="588">
        <f>$G$52/12</f>
        <v>61191.333333333336</v>
      </c>
    </row>
    <row r="4" spans="2:10" ht="16.5">
      <c r="B4" s="272" t="s">
        <v>1448</v>
      </c>
      <c r="C4" s="273"/>
      <c r="D4" s="272"/>
      <c r="E4" s="274"/>
      <c r="F4" s="275"/>
      <c r="G4" s="588">
        <f t="shared" ref="G4:G14" si="0">$G$52/12</f>
        <v>61191.333333333336</v>
      </c>
    </row>
    <row r="5" spans="2:10" ht="16.5">
      <c r="B5" s="272" t="s">
        <v>1449</v>
      </c>
      <c r="C5" s="273"/>
      <c r="D5" s="272"/>
      <c r="E5" s="274"/>
      <c r="F5" s="275"/>
      <c r="G5" s="588">
        <f t="shared" si="0"/>
        <v>61191.333333333336</v>
      </c>
    </row>
    <row r="6" spans="2:10" ht="16.5">
      <c r="B6" s="272" t="s">
        <v>1450</v>
      </c>
      <c r="C6" s="273"/>
      <c r="D6" s="272"/>
      <c r="E6" s="274"/>
      <c r="F6" s="274"/>
      <c r="G6" s="588">
        <f t="shared" si="0"/>
        <v>61191.333333333336</v>
      </c>
    </row>
    <row r="7" spans="2:10" ht="16.5">
      <c r="B7" s="272" t="s">
        <v>1451</v>
      </c>
      <c r="C7" s="273"/>
      <c r="D7" s="272"/>
      <c r="E7" s="274"/>
      <c r="F7" s="274"/>
      <c r="G7" s="588">
        <f t="shared" si="0"/>
        <v>61191.333333333336</v>
      </c>
    </row>
    <row r="8" spans="2:10" ht="16.5">
      <c r="B8" s="272" t="s">
        <v>1452</v>
      </c>
      <c r="C8" s="273"/>
      <c r="D8" s="272"/>
      <c r="E8" s="274"/>
      <c r="F8" s="274"/>
      <c r="G8" s="588">
        <f t="shared" si="0"/>
        <v>61191.333333333336</v>
      </c>
    </row>
    <row r="9" spans="2:10" ht="16.5">
      <c r="B9" s="272" t="s">
        <v>1283</v>
      </c>
      <c r="C9" s="273"/>
      <c r="D9" s="272"/>
      <c r="E9" s="274"/>
      <c r="F9" s="274"/>
      <c r="G9" s="588">
        <f t="shared" si="0"/>
        <v>61191.333333333336</v>
      </c>
    </row>
    <row r="10" spans="2:10" ht="16.5">
      <c r="B10" s="272" t="s">
        <v>1454</v>
      </c>
      <c r="C10" s="273"/>
      <c r="D10" s="272"/>
      <c r="E10" s="274"/>
      <c r="F10" s="274"/>
      <c r="G10" s="588">
        <f t="shared" si="0"/>
        <v>61191.333333333336</v>
      </c>
    </row>
    <row r="11" spans="2:10" ht="16.5">
      <c r="B11" s="272" t="s">
        <v>1455</v>
      </c>
      <c r="C11" s="273"/>
      <c r="D11" s="272"/>
      <c r="E11" s="274"/>
      <c r="F11" s="274"/>
      <c r="G11" s="588">
        <f t="shared" si="0"/>
        <v>61191.333333333336</v>
      </c>
    </row>
    <row r="12" spans="2:10" ht="16.5">
      <c r="B12" s="272" t="s">
        <v>1456</v>
      </c>
      <c r="C12" s="273"/>
      <c r="D12" s="272"/>
      <c r="E12" s="274"/>
      <c r="F12" s="274"/>
      <c r="G12" s="588">
        <f t="shared" si="0"/>
        <v>61191.333333333336</v>
      </c>
    </row>
    <row r="13" spans="2:10" ht="16.5">
      <c r="B13" s="272" t="s">
        <v>1457</v>
      </c>
      <c r="C13" s="273"/>
      <c r="D13" s="272"/>
      <c r="E13" s="274"/>
      <c r="F13" s="274"/>
      <c r="G13" s="588">
        <f t="shared" si="0"/>
        <v>61191.333333333336</v>
      </c>
    </row>
    <row r="14" spans="2:10" ht="16.5">
      <c r="B14" s="272" t="s">
        <v>1458</v>
      </c>
      <c r="C14" s="273"/>
      <c r="D14" s="272"/>
      <c r="E14" s="274"/>
      <c r="F14" s="274"/>
      <c r="G14" s="588">
        <f t="shared" si="0"/>
        <v>61191.333333333336</v>
      </c>
    </row>
    <row r="15" spans="2:10" ht="16.5">
      <c r="B15" s="273"/>
      <c r="C15" s="273"/>
      <c r="D15" s="272"/>
      <c r="E15" s="274"/>
      <c r="F15" s="275"/>
      <c r="G15" s="397">
        <f>SUM(G3:G14)</f>
        <v>734296.00000000012</v>
      </c>
      <c r="J15" s="84"/>
    </row>
    <row r="16" spans="2:10" ht="15.75">
      <c r="B16" s="276" t="s">
        <v>1891</v>
      </c>
      <c r="C16" s="258" t="s">
        <v>1758</v>
      </c>
      <c r="D16" s="277"/>
      <c r="E16" s="276" t="s">
        <v>1892</v>
      </c>
      <c r="F16" s="276" t="s">
        <v>1893</v>
      </c>
      <c r="G16" s="292" t="s">
        <v>1894</v>
      </c>
    </row>
    <row r="17" spans="1:7" ht="15.75">
      <c r="B17" s="278"/>
      <c r="C17" s="278"/>
      <c r="D17" s="279"/>
      <c r="E17" s="280"/>
      <c r="F17" s="280"/>
      <c r="G17" s="260"/>
    </row>
    <row r="18" spans="1:7" ht="15.75">
      <c r="B18" s="278" t="s">
        <v>1895</v>
      </c>
      <c r="C18" s="278" t="s">
        <v>1896</v>
      </c>
      <c r="D18" s="279" t="s">
        <v>1897</v>
      </c>
      <c r="E18" s="281">
        <v>3900</v>
      </c>
      <c r="F18" s="282">
        <v>15</v>
      </c>
      <c r="G18" s="260">
        <f>E18*F18</f>
        <v>58500</v>
      </c>
    </row>
    <row r="19" spans="1:7" ht="15.75">
      <c r="B19" s="286" t="s">
        <v>1933</v>
      </c>
      <c r="C19" s="278" t="s">
        <v>1934</v>
      </c>
      <c r="D19" s="279" t="s">
        <v>1935</v>
      </c>
      <c r="E19" s="281">
        <v>460</v>
      </c>
      <c r="F19" s="282">
        <v>210.6</v>
      </c>
      <c r="G19" s="260">
        <f t="shared" ref="G19:G51" si="1">E19*F19</f>
        <v>96876</v>
      </c>
    </row>
    <row r="20" spans="1:7" ht="15.75">
      <c r="B20" s="283" t="s">
        <v>109</v>
      </c>
      <c r="C20" s="278" t="s">
        <v>1922</v>
      </c>
      <c r="D20" s="279" t="s">
        <v>1923</v>
      </c>
      <c r="E20" s="281">
        <v>1</v>
      </c>
      <c r="F20" s="281">
        <v>381.5</v>
      </c>
      <c r="G20" s="260">
        <f>E20*F20</f>
        <v>381.5</v>
      </c>
    </row>
    <row r="21" spans="1:7" s="58" customFormat="1" ht="15.75">
      <c r="A21" s="128"/>
      <c r="B21" s="283" t="s">
        <v>1944</v>
      </c>
      <c r="C21" s="278" t="s">
        <v>1922</v>
      </c>
      <c r="D21" s="279" t="s">
        <v>1923</v>
      </c>
      <c r="E21" s="281">
        <v>5</v>
      </c>
      <c r="F21" s="281">
        <v>180</v>
      </c>
      <c r="G21" s="260">
        <f t="shared" si="1"/>
        <v>900</v>
      </c>
    </row>
    <row r="22" spans="1:7" s="125" customFormat="1" ht="15.75">
      <c r="A22" s="287"/>
      <c r="B22" s="283" t="s">
        <v>1921</v>
      </c>
      <c r="C22" s="278" t="s">
        <v>1922</v>
      </c>
      <c r="D22" s="279" t="s">
        <v>1923</v>
      </c>
      <c r="E22" s="281">
        <v>5.5</v>
      </c>
      <c r="F22" s="281">
        <v>280</v>
      </c>
      <c r="G22" s="260">
        <f t="shared" si="1"/>
        <v>1540</v>
      </c>
    </row>
    <row r="23" spans="1:7" s="125" customFormat="1" ht="15.75">
      <c r="A23" s="287"/>
      <c r="B23" s="283" t="s">
        <v>1945</v>
      </c>
      <c r="C23" s="278" t="s">
        <v>1922</v>
      </c>
      <c r="D23" s="279" t="s">
        <v>1923</v>
      </c>
      <c r="E23" s="281">
        <v>410</v>
      </c>
      <c r="F23" s="281">
        <v>22</v>
      </c>
      <c r="G23" s="260">
        <f t="shared" si="1"/>
        <v>9020</v>
      </c>
    </row>
    <row r="24" spans="1:7" s="58" customFormat="1" ht="15.75">
      <c r="A24" s="128"/>
      <c r="B24" s="286" t="s">
        <v>1941</v>
      </c>
      <c r="C24" s="278" t="s">
        <v>1942</v>
      </c>
      <c r="D24" s="279" t="s">
        <v>1943</v>
      </c>
      <c r="E24" s="290">
        <v>130</v>
      </c>
      <c r="F24" s="281">
        <v>220</v>
      </c>
      <c r="G24" s="260">
        <f t="shared" si="1"/>
        <v>28600</v>
      </c>
    </row>
    <row r="25" spans="1:7" s="58" customFormat="1" ht="15.75">
      <c r="A25" s="128"/>
      <c r="B25" s="286" t="s">
        <v>1927</v>
      </c>
      <c r="C25" s="278" t="s">
        <v>1928</v>
      </c>
      <c r="D25" s="279" t="s">
        <v>1929</v>
      </c>
      <c r="E25" s="290">
        <v>400</v>
      </c>
      <c r="F25" s="281">
        <v>83</v>
      </c>
      <c r="G25" s="260">
        <f t="shared" si="1"/>
        <v>33200</v>
      </c>
    </row>
    <row r="26" spans="1:7" s="58" customFormat="1" ht="15.75">
      <c r="A26" s="128"/>
      <c r="B26" s="283" t="s">
        <v>1959</v>
      </c>
      <c r="C26" s="278" t="s">
        <v>1928</v>
      </c>
      <c r="D26" s="279" t="s">
        <v>1929</v>
      </c>
      <c r="E26" s="281"/>
      <c r="F26" s="281">
        <v>150</v>
      </c>
      <c r="G26" s="260">
        <f t="shared" si="1"/>
        <v>0</v>
      </c>
    </row>
    <row r="27" spans="1:7" s="58" customFormat="1" ht="15.75">
      <c r="A27" s="128"/>
      <c r="B27" s="283" t="s">
        <v>1953</v>
      </c>
      <c r="C27" s="278" t="s">
        <v>1954</v>
      </c>
      <c r="D27" s="279" t="s">
        <v>1955</v>
      </c>
      <c r="E27" s="281"/>
      <c r="F27" s="281">
        <v>120</v>
      </c>
      <c r="G27" s="260">
        <f t="shared" si="1"/>
        <v>0</v>
      </c>
    </row>
    <row r="28" spans="1:7" s="58" customFormat="1" ht="15.75">
      <c r="A28" s="128"/>
      <c r="B28" s="283" t="s">
        <v>1938</v>
      </c>
      <c r="C28" s="278" t="s">
        <v>1939</v>
      </c>
      <c r="D28" s="279" t="s">
        <v>1940</v>
      </c>
      <c r="E28" s="281">
        <v>100</v>
      </c>
      <c r="F28" s="281">
        <v>24</v>
      </c>
      <c r="G28" s="260">
        <f t="shared" si="1"/>
        <v>2400</v>
      </c>
    </row>
    <row r="29" spans="1:7" s="58" customFormat="1" ht="15.75">
      <c r="A29" s="128"/>
      <c r="B29" s="286" t="s">
        <v>1901</v>
      </c>
      <c r="C29" s="278" t="s">
        <v>1902</v>
      </c>
      <c r="D29" s="279" t="s">
        <v>1903</v>
      </c>
      <c r="E29" s="281">
        <v>500</v>
      </c>
      <c r="F29" s="281">
        <v>17</v>
      </c>
      <c r="G29" s="260">
        <f t="shared" si="1"/>
        <v>8500</v>
      </c>
    </row>
    <row r="30" spans="1:7" s="58" customFormat="1" ht="15.75">
      <c r="A30" s="128"/>
      <c r="B30" s="286" t="s">
        <v>1949</v>
      </c>
      <c r="C30" s="278" t="s">
        <v>1899</v>
      </c>
      <c r="D30" s="279" t="s">
        <v>1900</v>
      </c>
      <c r="E30" s="281">
        <v>1200</v>
      </c>
      <c r="F30" s="281">
        <v>15</v>
      </c>
      <c r="G30" s="260">
        <f t="shared" si="1"/>
        <v>18000</v>
      </c>
    </row>
    <row r="31" spans="1:7" s="58" customFormat="1" ht="15.75">
      <c r="A31" s="128"/>
      <c r="B31" s="286" t="s">
        <v>1958</v>
      </c>
      <c r="C31" s="278" t="s">
        <v>1899</v>
      </c>
      <c r="D31" s="279" t="s">
        <v>1900</v>
      </c>
      <c r="E31" s="281">
        <v>8400</v>
      </c>
      <c r="F31" s="281">
        <v>5</v>
      </c>
      <c r="G31" s="260">
        <f t="shared" si="1"/>
        <v>42000</v>
      </c>
    </row>
    <row r="32" spans="1:7" s="58" customFormat="1" ht="15.75">
      <c r="A32" s="128"/>
      <c r="B32" s="286" t="s">
        <v>1950</v>
      </c>
      <c r="C32" s="278" t="s">
        <v>1899</v>
      </c>
      <c r="D32" s="279" t="s">
        <v>1900</v>
      </c>
      <c r="E32" s="281">
        <v>1200</v>
      </c>
      <c r="F32" s="281">
        <v>13</v>
      </c>
      <c r="G32" s="260">
        <f t="shared" si="1"/>
        <v>15600</v>
      </c>
    </row>
    <row r="33" spans="1:7" s="58" customFormat="1" ht="15.75">
      <c r="A33" s="128"/>
      <c r="B33" s="283" t="s">
        <v>1951</v>
      </c>
      <c r="C33" s="278" t="s">
        <v>1899</v>
      </c>
      <c r="D33" s="279" t="s">
        <v>1900</v>
      </c>
      <c r="E33" s="281">
        <v>600</v>
      </c>
      <c r="F33" s="281">
        <v>13</v>
      </c>
      <c r="G33" s="260">
        <f t="shared" si="1"/>
        <v>7800</v>
      </c>
    </row>
    <row r="34" spans="1:7" s="58" customFormat="1" ht="15.75">
      <c r="A34" s="128"/>
      <c r="B34" s="286" t="s">
        <v>1898</v>
      </c>
      <c r="C34" s="278" t="s">
        <v>1899</v>
      </c>
      <c r="D34" s="279" t="s">
        <v>1900</v>
      </c>
      <c r="E34" s="281">
        <v>650</v>
      </c>
      <c r="F34" s="281">
        <v>13</v>
      </c>
      <c r="G34" s="260">
        <f t="shared" si="1"/>
        <v>8450</v>
      </c>
    </row>
    <row r="35" spans="1:7" s="462" customFormat="1" ht="15.75">
      <c r="B35" s="463" t="s">
        <v>1946</v>
      </c>
      <c r="C35" s="467" t="s">
        <v>1947</v>
      </c>
      <c r="D35" s="468" t="s">
        <v>1948</v>
      </c>
      <c r="E35" s="464">
        <v>9</v>
      </c>
      <c r="F35" s="464">
        <v>140</v>
      </c>
      <c r="G35" s="260">
        <f t="shared" si="1"/>
        <v>1260</v>
      </c>
    </row>
    <row r="36" spans="1:7" s="474" customFormat="1" ht="15.75">
      <c r="A36" s="469"/>
      <c r="B36" s="470" t="s">
        <v>1909</v>
      </c>
      <c r="C36" s="471" t="s">
        <v>1905</v>
      </c>
      <c r="D36" s="472" t="s">
        <v>1906</v>
      </c>
      <c r="E36" s="473">
        <v>100</v>
      </c>
      <c r="F36" s="354">
        <v>13</v>
      </c>
      <c r="G36" s="260">
        <f t="shared" si="1"/>
        <v>1300</v>
      </c>
    </row>
    <row r="37" spans="1:7" s="474" customFormat="1" ht="15.75">
      <c r="B37" s="470" t="s">
        <v>1910</v>
      </c>
      <c r="C37" s="471" t="s">
        <v>1905</v>
      </c>
      <c r="D37" s="472" t="s">
        <v>1906</v>
      </c>
      <c r="E37" s="475">
        <v>270</v>
      </c>
      <c r="F37" s="475">
        <v>22</v>
      </c>
      <c r="G37" s="260">
        <f t="shared" si="1"/>
        <v>5940</v>
      </c>
    </row>
    <row r="38" spans="1:7" s="474" customFormat="1" ht="15.75">
      <c r="B38" s="470" t="s">
        <v>1911</v>
      </c>
      <c r="C38" s="471" t="s">
        <v>1905</v>
      </c>
      <c r="D38" s="472" t="s">
        <v>1906</v>
      </c>
      <c r="E38" s="475">
        <v>310</v>
      </c>
      <c r="F38" s="475">
        <v>24</v>
      </c>
      <c r="G38" s="260">
        <f t="shared" si="1"/>
        <v>7440</v>
      </c>
    </row>
    <row r="39" spans="1:7" s="474" customFormat="1" ht="15.75">
      <c r="B39" s="476" t="s">
        <v>1912</v>
      </c>
      <c r="C39" s="471" t="s">
        <v>1905</v>
      </c>
      <c r="D39" s="472" t="s">
        <v>1906</v>
      </c>
      <c r="E39" s="475">
        <v>630</v>
      </c>
      <c r="F39" s="475">
        <v>48</v>
      </c>
      <c r="G39" s="260">
        <f t="shared" si="1"/>
        <v>30240</v>
      </c>
    </row>
    <row r="40" spans="1:7" s="474" customFormat="1" ht="15.75">
      <c r="B40" s="470" t="s">
        <v>1907</v>
      </c>
      <c r="C40" s="471" t="s">
        <v>1905</v>
      </c>
      <c r="D40" s="472" t="s">
        <v>1906</v>
      </c>
      <c r="E40" s="475">
        <v>270</v>
      </c>
      <c r="F40" s="475">
        <v>11</v>
      </c>
      <c r="G40" s="260">
        <f t="shared" si="1"/>
        <v>2970</v>
      </c>
    </row>
    <row r="41" spans="1:7" s="58" customFormat="1" ht="15.75">
      <c r="B41" s="283" t="s">
        <v>1952</v>
      </c>
      <c r="C41" s="278" t="s">
        <v>1905</v>
      </c>
      <c r="D41" s="279" t="s">
        <v>1906</v>
      </c>
      <c r="E41" s="281">
        <v>60</v>
      </c>
      <c r="F41" s="281">
        <v>10</v>
      </c>
      <c r="G41" s="260">
        <f t="shared" si="1"/>
        <v>600</v>
      </c>
    </row>
    <row r="42" spans="1:7" s="58" customFormat="1" ht="15.75">
      <c r="B42" s="283" t="s">
        <v>1904</v>
      </c>
      <c r="C42" s="278" t="s">
        <v>1905</v>
      </c>
      <c r="D42" s="279" t="s">
        <v>1906</v>
      </c>
      <c r="E42" s="281">
        <v>450</v>
      </c>
      <c r="F42" s="281">
        <v>12</v>
      </c>
      <c r="G42" s="260">
        <f t="shared" si="1"/>
        <v>5400</v>
      </c>
    </row>
    <row r="43" spans="1:7" s="58" customFormat="1" ht="15.75">
      <c r="B43" s="283" t="s">
        <v>1920</v>
      </c>
      <c r="C43" s="278" t="s">
        <v>1905</v>
      </c>
      <c r="D43" s="279" t="s">
        <v>1906</v>
      </c>
      <c r="E43" s="280">
        <v>360</v>
      </c>
      <c r="F43" s="282">
        <v>23</v>
      </c>
      <c r="G43" s="260">
        <f t="shared" si="1"/>
        <v>8280</v>
      </c>
    </row>
    <row r="44" spans="1:7" s="58" customFormat="1" ht="15.75">
      <c r="B44" s="283" t="s">
        <v>1913</v>
      </c>
      <c r="C44" s="288" t="s">
        <v>1905</v>
      </c>
      <c r="D44" s="289" t="s">
        <v>1906</v>
      </c>
      <c r="E44" s="280">
        <v>275</v>
      </c>
      <c r="F44" s="282">
        <v>46</v>
      </c>
      <c r="G44" s="260">
        <f t="shared" si="1"/>
        <v>12650</v>
      </c>
    </row>
    <row r="45" spans="1:7" ht="15.75">
      <c r="B45" s="303" t="s">
        <v>1908</v>
      </c>
      <c r="C45" s="350" t="s">
        <v>1905</v>
      </c>
      <c r="D45" s="592" t="s">
        <v>1906</v>
      </c>
      <c r="E45" s="302">
        <v>275</v>
      </c>
      <c r="F45" s="302">
        <v>17.5</v>
      </c>
      <c r="G45" s="260">
        <f t="shared" si="1"/>
        <v>4812.5</v>
      </c>
    </row>
    <row r="46" spans="1:7" s="341" customFormat="1" ht="19.5">
      <c r="B46" s="303" t="s">
        <v>1924</v>
      </c>
      <c r="C46" s="350" t="s">
        <v>1925</v>
      </c>
      <c r="D46" s="592" t="s">
        <v>1926</v>
      </c>
      <c r="E46" s="302">
        <v>7920</v>
      </c>
      <c r="F46" s="302">
        <v>5.3</v>
      </c>
      <c r="G46" s="260">
        <f t="shared" si="1"/>
        <v>41976</v>
      </c>
    </row>
    <row r="47" spans="1:7" ht="15.75">
      <c r="B47" s="303" t="s">
        <v>1930</v>
      </c>
      <c r="C47" s="350" t="s">
        <v>1931</v>
      </c>
      <c r="D47" s="592" t="s">
        <v>1932</v>
      </c>
      <c r="E47" s="302">
        <v>922</v>
      </c>
      <c r="F47" s="302">
        <v>70</v>
      </c>
      <c r="G47" s="260">
        <f t="shared" si="1"/>
        <v>64540</v>
      </c>
    </row>
    <row r="48" spans="1:7" ht="15.75">
      <c r="B48" s="303" t="s">
        <v>1960</v>
      </c>
      <c r="C48" s="350" t="s">
        <v>1956</v>
      </c>
      <c r="D48" s="592" t="s">
        <v>1957</v>
      </c>
      <c r="E48" s="302">
        <v>270</v>
      </c>
      <c r="F48" s="302">
        <v>140</v>
      </c>
      <c r="G48" s="260">
        <f t="shared" si="1"/>
        <v>37800</v>
      </c>
    </row>
    <row r="49" spans="2:7" ht="15.75">
      <c r="B49" s="303" t="s">
        <v>1914</v>
      </c>
      <c r="C49" s="350" t="s">
        <v>1915</v>
      </c>
      <c r="D49" s="592" t="s">
        <v>1916</v>
      </c>
      <c r="E49" s="302">
        <v>130</v>
      </c>
      <c r="F49" s="302">
        <v>90</v>
      </c>
      <c r="G49" s="260">
        <f t="shared" si="1"/>
        <v>11700</v>
      </c>
    </row>
    <row r="50" spans="2:7" ht="15.75">
      <c r="B50" s="303" t="s">
        <v>1917</v>
      </c>
      <c r="C50" s="350" t="s">
        <v>1918</v>
      </c>
      <c r="D50" s="592" t="s">
        <v>1919</v>
      </c>
      <c r="E50" s="302">
        <v>4550</v>
      </c>
      <c r="F50" s="907">
        <v>31</v>
      </c>
      <c r="G50" s="260">
        <f>E50*F50</f>
        <v>141050</v>
      </c>
    </row>
    <row r="51" spans="2:7" ht="15.75">
      <c r="B51" s="303" t="s">
        <v>1936</v>
      </c>
      <c r="C51" s="350" t="s">
        <v>1937</v>
      </c>
      <c r="D51" s="592" t="s">
        <v>1936</v>
      </c>
      <c r="E51" s="302">
        <v>630</v>
      </c>
      <c r="F51" s="302">
        <v>39</v>
      </c>
      <c r="G51" s="260">
        <f t="shared" si="1"/>
        <v>24570</v>
      </c>
    </row>
    <row r="52" spans="2:7" s="301" customFormat="1" ht="15.75">
      <c r="B52" s="346"/>
      <c r="C52" s="352"/>
      <c r="D52" s="596"/>
      <c r="E52" s="304"/>
      <c r="F52" s="304"/>
      <c r="G52" s="306">
        <f>SUM(G18:G51)</f>
        <v>734296</v>
      </c>
    </row>
    <row r="53" spans="2:7">
      <c r="B53" s="589"/>
      <c r="C53" s="590"/>
      <c r="D53" s="591"/>
      <c r="E53" s="595"/>
      <c r="F53" s="595"/>
      <c r="G53" s="595"/>
    </row>
  </sheetData>
  <phoneticPr fontId="55" type="noConversion"/>
  <hyperlinks>
    <hyperlink ref="C18" r:id="rId1" tooltip="Дерево коду 15510000-6" display="https://ezs.dkpp.rv.ua/index.php?search=15510000-6&amp;type=code"/>
    <hyperlink ref="D18" r:id="rId2" display="https://ezs.dkpp.rv.ua/index.php?level=15510000-6"/>
    <hyperlink ref="C33" r:id="rId3" tooltip="Дерево коду 03220000-9" display="https://ezs.dkpp.rv.ua/index.php?search=03220000-9&amp;type=code"/>
    <hyperlink ref="D33" r:id="rId4" display="https://ezs.dkpp.rv.ua/index.php?level=03220000-9"/>
    <hyperlink ref="C36" r:id="rId5" tooltip="Дерево коду 15610000-7" display="https://ezs.dkpp.rv.ua/index.php?search=15610000-7&amp;type=code"/>
    <hyperlink ref="D36" r:id="rId6" display="https://ezs.dkpp.rv.ua/index.php?level=15610000-7"/>
    <hyperlink ref="C37" r:id="rId7" tooltip="Дерево коду 15610000-7" display="https://ezs.dkpp.rv.ua/index.php?search=15610000-7&amp;type=code"/>
    <hyperlink ref="D37" r:id="rId8" display="https://ezs.dkpp.rv.ua/index.php?level=15610000-7"/>
    <hyperlink ref="C43" r:id="rId9" tooltip="Дерево коду 15610000-7" display="https://ezs.dkpp.rv.ua/index.php?search=15610000-7&amp;type=code"/>
    <hyperlink ref="C40" r:id="rId10" tooltip="Дерево коду 15610000-7" display="https://ezs.dkpp.rv.ua/index.php?search=15610000-7&amp;type=code"/>
    <hyperlink ref="D40" r:id="rId11" display="https://ezs.dkpp.rv.ua/index.php?level=15610000-7"/>
    <hyperlink ref="C27" r:id="rId12" tooltip="Дерево коду 15850000-1" display="https://ezs.dkpp.rv.ua/index.php?search=15850000-1&amp;type=code"/>
    <hyperlink ref="D27" r:id="rId13" display="https://ezs.dkpp.rv.ua/index.php?level=15850000-1"/>
    <hyperlink ref="D42" r:id="rId14" display="https://ezs.dkpp.rv.ua/index.php?level=15610000-7"/>
    <hyperlink ref="C42" r:id="rId15" tooltip="Дерево коду 15610000-7" display="https://ezs.dkpp.rv.ua/index.php?search=15610000-7&amp;type=code"/>
    <hyperlink ref="D44" r:id="rId16" display="https://prozorro.gov.ua/tender/UA-2021-04-09-007264-a"/>
    <hyperlink ref="C23" r:id="rId17" tooltip="Дерево коду 15860000-4" display="https://ezs.dkpp.rv.ua/index.php?search=15860000-4&amp;type=code"/>
    <hyperlink ref="D23" r:id="rId18" display="https://ezs.dkpp.rv.ua/index.php?level=15860000-4"/>
    <hyperlink ref="C29" r:id="rId19" tooltip="Дерево коду 03220000-9" display="https://ezs.dkpp.rv.ua/index.php?search=03220000-9&amp;type=code"/>
    <hyperlink ref="D29" r:id="rId20" display="https://ezs.dkpp.rv.ua/index.php?level=03220000-9"/>
    <hyperlink ref="C31" r:id="rId21" tooltip="Дерево коду 03220000-9" display="https://ezs.dkpp.rv.ua/index.php?search=03220000-9&amp;type=code"/>
    <hyperlink ref="D31" r:id="rId22" display="https://ezs.dkpp.rv.ua/index.php?level=03220000-9"/>
    <hyperlink ref="C39" r:id="rId23" tooltip="Дерево коду 15610000-7" display="https://ezs.dkpp.rv.ua/index.php?search=15610000-7&amp;type=code"/>
    <hyperlink ref="D39" r:id="rId24" display="https://ezs.dkpp.rv.ua/index.php?level=15610000-7"/>
    <hyperlink ref="C34" r:id="rId25" tooltip="Дерево коду 15890000-3" display="https://ezs.dkpp.rv.ua/index.php?search=15890000-3&amp;type=code"/>
    <hyperlink ref="D34" r:id="rId26" display="https://ezs.dkpp.rv.ua/index.php?level=15890000-3"/>
    <hyperlink ref="C28" r:id="rId27" tooltip="Дерево коду 15330000-0" display="https://ezs.dkpp.rv.ua/index.php?search=15330000-0&amp;type=code"/>
    <hyperlink ref="D28" r:id="rId28" display="https://ezs.dkpp.rv.ua/index.php?level=15330000-0"/>
    <hyperlink ref="C38" r:id="rId29" tooltip="Дерево коду 15610000-7" display="https://ezs.dkpp.rv.ua/index.php?search=15610000-7&amp;type=code"/>
    <hyperlink ref="D38" r:id="rId30" display="https://ezs.dkpp.rv.ua/index.php?level=15610000-7"/>
    <hyperlink ref="C30" r:id="rId31" tooltip="Дерево коду 03220000-9" display="https://ezs.dkpp.rv.ua/index.php?search=03220000-9&amp;type=code"/>
    <hyperlink ref="D30" r:id="rId32" display="https://ezs.dkpp.rv.ua/index.php?level=03220000-9"/>
  </hyperlinks>
  <pageMargins left="0" right="0" top="0" bottom="0" header="0" footer="0"/>
  <pageSetup paperSize="9" scale="64" fitToHeight="10" orientation="landscape" r:id="rId3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9"/>
  <sheetViews>
    <sheetView view="pageBreakPreview" zoomScale="75" zoomScaleNormal="50" zoomScaleSheetLayoutView="75" workbookViewId="0">
      <selection activeCell="I43" sqref="I43"/>
    </sheetView>
  </sheetViews>
  <sheetFormatPr defaultRowHeight="15"/>
  <cols>
    <col min="1" max="1" width="17.42578125" style="89" customWidth="1"/>
    <col min="2" max="2" width="66.5703125" customWidth="1"/>
    <col min="3" max="14" width="15.140625" customWidth="1"/>
    <col min="15" max="15" width="18" customWidth="1"/>
    <col min="16" max="16" width="13.42578125" bestFit="1" customWidth="1"/>
    <col min="17" max="17" width="14.85546875" bestFit="1" customWidth="1"/>
    <col min="18" max="18" width="9.140625" style="89"/>
  </cols>
  <sheetData>
    <row r="1" spans="1:18" ht="18.75">
      <c r="B1" s="320"/>
      <c r="C1" s="321" t="s">
        <v>1282</v>
      </c>
      <c r="D1" s="321" t="s">
        <v>1448</v>
      </c>
      <c r="E1" s="321" t="s">
        <v>1449</v>
      </c>
      <c r="F1" s="321" t="s">
        <v>1450</v>
      </c>
      <c r="G1" s="321" t="s">
        <v>1451</v>
      </c>
      <c r="H1" s="321" t="s">
        <v>1452</v>
      </c>
      <c r="I1" s="321" t="s">
        <v>1283</v>
      </c>
      <c r="J1" s="321" t="s">
        <v>1454</v>
      </c>
      <c r="K1" s="321" t="s">
        <v>1455</v>
      </c>
      <c r="L1" s="321" t="s">
        <v>1456</v>
      </c>
      <c r="M1" s="321" t="s">
        <v>1457</v>
      </c>
      <c r="N1" s="321" t="s">
        <v>1458</v>
      </c>
      <c r="O1" s="321">
        <v>2024</v>
      </c>
    </row>
    <row r="2" spans="1:18" ht="18.75">
      <c r="B2" s="322" t="s">
        <v>1292</v>
      </c>
      <c r="C2" s="323">
        <f>SUM(C3,C4,C5,C6,C7,C8)</f>
        <v>0</v>
      </c>
      <c r="D2" s="323">
        <f t="shared" ref="D2:N2" si="0">SUM(D3,D4,D5,D6,D7,D8)</f>
        <v>0</v>
      </c>
      <c r="E2" s="323">
        <f>SUM(E3,E4,E5,E6,E7,E8)</f>
        <v>0</v>
      </c>
      <c r="F2" s="323">
        <f t="shared" si="0"/>
        <v>0</v>
      </c>
      <c r="G2" s="323">
        <f t="shared" si="0"/>
        <v>0</v>
      </c>
      <c r="H2" s="323">
        <f t="shared" si="0"/>
        <v>0</v>
      </c>
      <c r="I2" s="323">
        <f>SUM(I3,I4,I5,I6,I7,I8)</f>
        <v>0</v>
      </c>
      <c r="J2" s="323">
        <f t="shared" si="0"/>
        <v>0</v>
      </c>
      <c r="K2" s="323">
        <f t="shared" si="0"/>
        <v>0</v>
      </c>
      <c r="L2" s="323">
        <f t="shared" si="0"/>
        <v>0</v>
      </c>
      <c r="M2" s="323">
        <f t="shared" si="0"/>
        <v>0</v>
      </c>
      <c r="N2" s="323">
        <f t="shared" si="0"/>
        <v>0</v>
      </c>
      <c r="O2" s="323">
        <f>SUM(O3,O4,O5,O6,O7,O8)</f>
        <v>0</v>
      </c>
      <c r="Q2" s="600"/>
    </row>
    <row r="3" spans="1:18" ht="18.75" hidden="1">
      <c r="B3" s="324" t="s">
        <v>1293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>
        <f>SUM(C3:N3)</f>
        <v>0</v>
      </c>
      <c r="Q3" s="600"/>
    </row>
    <row r="4" spans="1:18" ht="18.75" hidden="1">
      <c r="B4" s="324" t="s">
        <v>1294</v>
      </c>
      <c r="C4" s="325"/>
      <c r="D4" s="333"/>
      <c r="E4" s="333"/>
      <c r="F4" s="325"/>
      <c r="G4" s="325"/>
      <c r="H4" s="325"/>
      <c r="I4" s="325"/>
      <c r="J4" s="325"/>
      <c r="K4" s="325"/>
      <c r="L4" s="325"/>
      <c r="M4" s="325"/>
      <c r="N4" s="325"/>
      <c r="O4" s="325">
        <f t="shared" ref="O4:O9" si="1">SUM(C4:N4)</f>
        <v>0</v>
      </c>
      <c r="Q4" s="600"/>
    </row>
    <row r="5" spans="1:18" ht="18.75" hidden="1">
      <c r="B5" s="324" t="s">
        <v>1295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>
        <f t="shared" si="1"/>
        <v>0</v>
      </c>
      <c r="Q5" s="600"/>
    </row>
    <row r="6" spans="1:18" s="605" customFormat="1" ht="18.75" hidden="1">
      <c r="A6" s="601"/>
      <c r="B6" s="609" t="s">
        <v>1296</v>
      </c>
      <c r="C6" s="587"/>
      <c r="D6" s="587"/>
      <c r="E6" s="587"/>
      <c r="F6" s="604"/>
      <c r="G6" s="604"/>
      <c r="H6" s="604"/>
      <c r="I6" s="604"/>
      <c r="J6" s="604"/>
      <c r="K6" s="604"/>
      <c r="L6" s="604"/>
      <c r="M6" s="604"/>
      <c r="N6" s="604"/>
      <c r="O6" s="587">
        <f>SUM(C6:N6)</f>
        <v>0</v>
      </c>
      <c r="P6"/>
      <c r="Q6" s="600"/>
      <c r="R6" s="601"/>
    </row>
    <row r="7" spans="1:18" ht="37.5" hidden="1">
      <c r="B7" s="324" t="s">
        <v>529</v>
      </c>
      <c r="C7" s="325"/>
      <c r="D7" s="325"/>
      <c r="E7" s="325"/>
      <c r="F7" s="598"/>
      <c r="G7" s="598"/>
      <c r="H7" s="598"/>
      <c r="I7" s="598"/>
      <c r="J7" s="598"/>
      <c r="K7" s="598"/>
      <c r="L7" s="598"/>
      <c r="M7" s="598"/>
      <c r="N7" s="598"/>
      <c r="O7" s="325">
        <f t="shared" si="1"/>
        <v>0</v>
      </c>
      <c r="Q7" s="600"/>
    </row>
    <row r="8" spans="1:18" s="613" customFormat="1" ht="18.75" hidden="1">
      <c r="A8" s="610"/>
      <c r="B8" s="611" t="s">
        <v>1297</v>
      </c>
      <c r="C8" s="612"/>
      <c r="D8" s="612"/>
      <c r="E8" s="612"/>
      <c r="F8" s="597"/>
      <c r="G8" s="597"/>
      <c r="H8" s="597"/>
      <c r="I8" s="597"/>
      <c r="J8" s="597"/>
      <c r="K8" s="597"/>
      <c r="L8" s="597"/>
      <c r="M8" s="597"/>
      <c r="N8" s="597"/>
      <c r="O8" s="612">
        <f>SUM(C8:N8)</f>
        <v>0</v>
      </c>
      <c r="P8"/>
      <c r="Q8" s="600"/>
      <c r="R8" s="610"/>
    </row>
    <row r="9" spans="1:18" ht="18.75" hidden="1">
      <c r="B9" s="326" t="s">
        <v>1298</v>
      </c>
      <c r="C9" s="325"/>
      <c r="D9" s="325"/>
      <c r="E9" s="325"/>
      <c r="F9" s="598"/>
      <c r="G9" s="598"/>
      <c r="H9" s="598"/>
      <c r="I9" s="598"/>
      <c r="J9" s="598"/>
      <c r="K9" s="598"/>
      <c r="L9" s="598"/>
      <c r="M9" s="598"/>
      <c r="N9" s="598"/>
      <c r="O9" s="325">
        <f t="shared" si="1"/>
        <v>0</v>
      </c>
      <c r="Q9" s="600"/>
    </row>
    <row r="10" spans="1:18" ht="18.75">
      <c r="B10" s="327" t="s">
        <v>530</v>
      </c>
      <c r="C10" s="323">
        <f>SUM(C11,C12,C13,C14,C15,C21,C22,C23,C24,C25,C26,C27,C28,C29,C31,C30)</f>
        <v>11810</v>
      </c>
      <c r="D10" s="323">
        <f>SUM(D11,D12,D13,D14,D15,D21,D22,D23,D24,D25,D26,D27,D28,D29,D31,D30)</f>
        <v>47948.369999999995</v>
      </c>
      <c r="E10" s="323">
        <f>SUM(E11,E12,E13,E14,E15,E21,E22,E23,E24,E25,E26,E27,E28,E29,E31,E30)</f>
        <v>56158.840000000004</v>
      </c>
      <c r="F10" s="323">
        <f t="shared" ref="F10:M10" si="2">SUM(F11,F12,F13,F14,F15,F21,F22,F23,F24,F25,F26,F27,F28,F29,F31,F30)</f>
        <v>75739.850000000006</v>
      </c>
      <c r="G10" s="323">
        <f>SUM(G11,G12,G13,G14,G15,G21,G22,G23,G24,G25,G26,G27,G28,G29,G31,G30)</f>
        <v>65194.479999999996</v>
      </c>
      <c r="H10" s="323">
        <f t="shared" si="2"/>
        <v>76424.48000000001</v>
      </c>
      <c r="I10" s="323">
        <f t="shared" si="2"/>
        <v>70064.479999999996</v>
      </c>
      <c r="J10" s="323">
        <f t="shared" si="2"/>
        <v>64344.479999999996</v>
      </c>
      <c r="K10" s="323">
        <f t="shared" si="2"/>
        <v>76424.48000000001</v>
      </c>
      <c r="L10" s="323">
        <f t="shared" si="2"/>
        <v>64344.479999999996</v>
      </c>
      <c r="M10" s="323">
        <f t="shared" si="2"/>
        <v>64344.479999999996</v>
      </c>
      <c r="N10" s="323">
        <f>SUM(N11,N12,N13,N14,N15,N21,N22,N23,N24,N25,N26,N27,N28,N29,N31,N30)</f>
        <v>76085.48000000001</v>
      </c>
      <c r="O10" s="323">
        <f>SUM(O11,O12,O13,O14,O15,O21,O22,O23,O24,O25,O26,O27,O28,O29,O31,O30)</f>
        <v>748883.89999999991</v>
      </c>
      <c r="Q10" s="600"/>
    </row>
    <row r="11" spans="1:18" ht="18.75" hidden="1">
      <c r="B11" s="328" t="s">
        <v>1543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>
        <f>SUM(C11:N11)</f>
        <v>0</v>
      </c>
      <c r="Q11" s="600"/>
    </row>
    <row r="12" spans="1:18" s="605" customFormat="1" ht="37.5" hidden="1">
      <c r="A12" s="601"/>
      <c r="B12" s="586" t="s">
        <v>1299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>
        <f>SUM(C12:N12)</f>
        <v>0</v>
      </c>
      <c r="P12"/>
      <c r="Q12" s="600"/>
      <c r="R12" s="601"/>
    </row>
    <row r="13" spans="1:18" ht="18.75" hidden="1">
      <c r="B13" s="330" t="s">
        <v>1300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>
        <f t="shared" ref="O13:O30" si="3">SUM(C13:N13)</f>
        <v>0</v>
      </c>
      <c r="Q13" s="600"/>
    </row>
    <row r="14" spans="1:18" ht="18.75" hidden="1">
      <c r="B14" s="330" t="s">
        <v>1301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>
        <f t="shared" si="3"/>
        <v>0</v>
      </c>
      <c r="Q14" s="600"/>
    </row>
    <row r="15" spans="1:18" ht="19.5">
      <c r="B15" s="331" t="s">
        <v>1302</v>
      </c>
      <c r="C15" s="332">
        <f>SUM(C16,C17,C18,C19,C20)</f>
        <v>3000</v>
      </c>
      <c r="D15" s="332">
        <f>SUM(D16,D17,D18,D19,D20)</f>
        <v>6800</v>
      </c>
      <c r="E15" s="332">
        <f t="shared" ref="E15:N15" si="4">SUM(E16,E17,E18,E19,E20)</f>
        <v>13490</v>
      </c>
      <c r="F15" s="332">
        <f>SUM(F16,F17,F18,F19,F20)</f>
        <v>6479.4699999999993</v>
      </c>
      <c r="G15" s="332">
        <f t="shared" si="4"/>
        <v>22503.112499999999</v>
      </c>
      <c r="H15" s="332">
        <f t="shared" si="4"/>
        <v>33733.112500000003</v>
      </c>
      <c r="I15" s="332">
        <f t="shared" si="4"/>
        <v>27373.112499999999</v>
      </c>
      <c r="J15" s="332">
        <f t="shared" si="4"/>
        <v>21653.112499999999</v>
      </c>
      <c r="K15" s="332">
        <f t="shared" si="4"/>
        <v>33733.112500000003</v>
      </c>
      <c r="L15" s="332">
        <f t="shared" si="4"/>
        <v>21653.112499999999</v>
      </c>
      <c r="M15" s="332">
        <f t="shared" si="4"/>
        <v>21653.112499999999</v>
      </c>
      <c r="N15" s="332">
        <f t="shared" si="4"/>
        <v>33733.112500000003</v>
      </c>
      <c r="O15" s="332">
        <f>SUM(O16,O17,O18,O19,O20)</f>
        <v>245804.37</v>
      </c>
      <c r="Q15" s="600"/>
    </row>
    <row r="16" spans="1:18" s="605" customFormat="1" ht="18.75">
      <c r="A16" s="601"/>
      <c r="B16" s="867" t="s">
        <v>1303</v>
      </c>
      <c r="C16" s="868"/>
      <c r="D16" s="869"/>
      <c r="E16" s="869">
        <f>6360</f>
        <v>6360</v>
      </c>
      <c r="F16" s="870"/>
      <c r="G16" s="870"/>
      <c r="H16" s="870">
        <v>12080</v>
      </c>
      <c r="I16" s="870">
        <f>5720</f>
        <v>5720</v>
      </c>
      <c r="J16" s="870"/>
      <c r="K16" s="870">
        <v>12080</v>
      </c>
      <c r="L16" s="870"/>
      <c r="M16" s="870"/>
      <c r="N16" s="870">
        <v>12080</v>
      </c>
      <c r="O16" s="868">
        <f>SUM(C16:N16)</f>
        <v>48320</v>
      </c>
      <c r="P16"/>
      <c r="Q16" s="600"/>
      <c r="R16" s="601"/>
    </row>
    <row r="17" spans="1:18" s="605" customFormat="1" ht="18.75">
      <c r="A17" s="601"/>
      <c r="B17" s="867" t="s">
        <v>1304</v>
      </c>
      <c r="C17" s="868">
        <v>3000</v>
      </c>
      <c r="D17" s="869">
        <v>6200</v>
      </c>
      <c r="E17" s="869">
        <v>3800</v>
      </c>
      <c r="F17" s="870">
        <v>6119.4699999999993</v>
      </c>
      <c r="G17" s="870">
        <f>74728.9/8</f>
        <v>9341.1124999999993</v>
      </c>
      <c r="H17" s="870">
        <f>G17</f>
        <v>9341.1124999999993</v>
      </c>
      <c r="I17" s="870">
        <f t="shared" ref="I17:N17" si="5">H17</f>
        <v>9341.1124999999993</v>
      </c>
      <c r="J17" s="870">
        <f t="shared" si="5"/>
        <v>9341.1124999999993</v>
      </c>
      <c r="K17" s="870">
        <f t="shared" si="5"/>
        <v>9341.1124999999993</v>
      </c>
      <c r="L17" s="870">
        <f t="shared" si="5"/>
        <v>9341.1124999999993</v>
      </c>
      <c r="M17" s="870">
        <f t="shared" si="5"/>
        <v>9341.1124999999993</v>
      </c>
      <c r="N17" s="870">
        <f t="shared" si="5"/>
        <v>9341.1124999999993</v>
      </c>
      <c r="O17" s="868">
        <f t="shared" si="3"/>
        <v>93848.37000000001</v>
      </c>
      <c r="P17"/>
      <c r="Q17" s="600"/>
      <c r="R17" s="601"/>
    </row>
    <row r="18" spans="1:18" ht="18.75">
      <c r="B18" s="867" t="s">
        <v>1305</v>
      </c>
      <c r="C18" s="868"/>
      <c r="D18" s="869"/>
      <c r="E18" s="869"/>
      <c r="F18" s="870"/>
      <c r="G18" s="870"/>
      <c r="H18" s="870"/>
      <c r="I18" s="870"/>
      <c r="J18" s="870"/>
      <c r="K18" s="870"/>
      <c r="L18" s="870"/>
      <c r="M18" s="870"/>
      <c r="N18" s="870"/>
      <c r="O18" s="868">
        <f t="shared" si="3"/>
        <v>0</v>
      </c>
      <c r="Q18" s="600"/>
    </row>
    <row r="19" spans="1:18" ht="18.75">
      <c r="B19" s="867" t="s">
        <v>531</v>
      </c>
      <c r="C19" s="868"/>
      <c r="D19" s="869"/>
      <c r="E19" s="869"/>
      <c r="F19" s="870"/>
      <c r="G19" s="870"/>
      <c r="H19" s="870"/>
      <c r="I19" s="870"/>
      <c r="J19" s="870"/>
      <c r="K19" s="870"/>
      <c r="L19" s="870"/>
      <c r="M19" s="870"/>
      <c r="N19" s="870"/>
      <c r="O19" s="868">
        <f t="shared" si="3"/>
        <v>0</v>
      </c>
      <c r="Q19" s="600"/>
    </row>
    <row r="20" spans="1:18" s="605" customFormat="1" ht="18.75">
      <c r="A20" s="601"/>
      <c r="B20" s="867" t="s">
        <v>1306</v>
      </c>
      <c r="C20" s="868"/>
      <c r="D20" s="869">
        <f>300+300</f>
        <v>600</v>
      </c>
      <c r="E20" s="869">
        <f>3030+300</f>
        <v>3330</v>
      </c>
      <c r="F20" s="870">
        <f>360</f>
        <v>360</v>
      </c>
      <c r="G20" s="870">
        <f>12312+850</f>
        <v>13162</v>
      </c>
      <c r="H20" s="870">
        <v>12312</v>
      </c>
      <c r="I20" s="870">
        <v>12312</v>
      </c>
      <c r="J20" s="870">
        <v>12312</v>
      </c>
      <c r="K20" s="870">
        <v>12312</v>
      </c>
      <c r="L20" s="870">
        <v>12312</v>
      </c>
      <c r="M20" s="870">
        <v>12312</v>
      </c>
      <c r="N20" s="870">
        <v>12312</v>
      </c>
      <c r="O20" s="868">
        <f>SUM(C20:N20)</f>
        <v>103636</v>
      </c>
      <c r="P20"/>
      <c r="Q20" s="600"/>
      <c r="R20" s="601"/>
    </row>
    <row r="21" spans="1:18" s="605" customFormat="1" ht="19.5">
      <c r="A21" s="601"/>
      <c r="B21" s="608" t="s">
        <v>1307</v>
      </c>
      <c r="C21" s="587">
        <f>800</f>
        <v>800</v>
      </c>
      <c r="D21" s="607">
        <f>800+571.85</f>
        <v>1371.85</v>
      </c>
      <c r="E21" s="607">
        <f>800+823.44</f>
        <v>1623.44</v>
      </c>
      <c r="F21" s="603">
        <f>1765.46+379.36</f>
        <v>2144.8200000000002</v>
      </c>
      <c r="G21" s="603">
        <v>2054.96</v>
      </c>
      <c r="H21" s="603">
        <v>2054.96</v>
      </c>
      <c r="I21" s="603">
        <v>2054.96</v>
      </c>
      <c r="J21" s="603">
        <v>2054.96</v>
      </c>
      <c r="K21" s="603">
        <v>2054.96</v>
      </c>
      <c r="L21" s="603">
        <v>2054.96</v>
      </c>
      <c r="M21" s="603">
        <v>2054.96</v>
      </c>
      <c r="N21" s="603">
        <v>1715.96</v>
      </c>
      <c r="O21" s="587">
        <f>SUM(C21:N21)</f>
        <v>22040.789999999997</v>
      </c>
      <c r="P21"/>
      <c r="Q21" s="600"/>
      <c r="R21" s="601"/>
    </row>
    <row r="22" spans="1:18" s="605" customFormat="1" ht="19.5">
      <c r="A22" s="601"/>
      <c r="B22" s="608" t="s">
        <v>1308</v>
      </c>
      <c r="C22" s="587"/>
      <c r="D22" s="607"/>
      <c r="E22" s="607">
        <f>18576+2256-20832</f>
        <v>0</v>
      </c>
      <c r="F22" s="603">
        <f>12642+36851</f>
        <v>49493</v>
      </c>
      <c r="G22" s="603">
        <v>7546.5</v>
      </c>
      <c r="H22" s="603">
        <v>7546.5</v>
      </c>
      <c r="I22" s="603">
        <v>7546.5</v>
      </c>
      <c r="J22" s="603">
        <v>7546.5</v>
      </c>
      <c r="K22" s="603">
        <v>7546.5</v>
      </c>
      <c r="L22" s="603">
        <v>7546.5</v>
      </c>
      <c r="M22" s="603">
        <v>7546.5</v>
      </c>
      <c r="N22" s="603">
        <v>7546.5</v>
      </c>
      <c r="O22" s="587">
        <f>SUM(C22:N22)</f>
        <v>109865</v>
      </c>
      <c r="P22"/>
      <c r="Q22" s="600"/>
      <c r="R22" s="606"/>
    </row>
    <row r="23" spans="1:18" s="605" customFormat="1" ht="19.5">
      <c r="A23" s="601"/>
      <c r="B23" s="602" t="s">
        <v>1309</v>
      </c>
      <c r="C23" s="587">
        <f>1980+810</f>
        <v>2790</v>
      </c>
      <c r="D23" s="587">
        <f>1980+810</f>
        <v>2790</v>
      </c>
      <c r="E23" s="587">
        <f>1980+810+240</f>
        <v>3030</v>
      </c>
      <c r="F23" s="603">
        <f>2870</f>
        <v>2870</v>
      </c>
      <c r="G23" s="604">
        <f>F23</f>
        <v>2870</v>
      </c>
      <c r="H23" s="604">
        <f t="shared" ref="H23:N23" si="6">G23</f>
        <v>2870</v>
      </c>
      <c r="I23" s="604">
        <f t="shared" si="6"/>
        <v>2870</v>
      </c>
      <c r="J23" s="604">
        <f t="shared" si="6"/>
        <v>2870</v>
      </c>
      <c r="K23" s="604">
        <f t="shared" si="6"/>
        <v>2870</v>
      </c>
      <c r="L23" s="604">
        <f t="shared" si="6"/>
        <v>2870</v>
      </c>
      <c r="M23" s="604">
        <f t="shared" si="6"/>
        <v>2870</v>
      </c>
      <c r="N23" s="604">
        <f t="shared" si="6"/>
        <v>2870</v>
      </c>
      <c r="O23" s="587">
        <f>SUM(C23:N23)</f>
        <v>34440</v>
      </c>
      <c r="P23"/>
      <c r="Q23" s="600"/>
      <c r="R23" s="606"/>
    </row>
    <row r="24" spans="1:18" s="605" customFormat="1" ht="19.5">
      <c r="A24" s="601"/>
      <c r="B24" s="602" t="s">
        <v>1310</v>
      </c>
      <c r="C24" s="587">
        <f>220</f>
        <v>220</v>
      </c>
      <c r="D24" s="607">
        <f>220</f>
        <v>220</v>
      </c>
      <c r="E24" s="607">
        <f>220</f>
        <v>220</v>
      </c>
      <c r="F24" s="603">
        <v>220</v>
      </c>
      <c r="G24" s="604">
        <v>220</v>
      </c>
      <c r="H24" s="604">
        <v>220</v>
      </c>
      <c r="I24" s="604">
        <v>220</v>
      </c>
      <c r="J24" s="604">
        <v>220</v>
      </c>
      <c r="K24" s="604">
        <v>220</v>
      </c>
      <c r="L24" s="604">
        <v>220</v>
      </c>
      <c r="M24" s="604">
        <v>220</v>
      </c>
      <c r="N24" s="604">
        <v>220</v>
      </c>
      <c r="O24" s="587">
        <f>SUM(C24:N24)</f>
        <v>2640</v>
      </c>
      <c r="P24"/>
      <c r="Q24" s="600"/>
      <c r="R24" s="601"/>
    </row>
    <row r="25" spans="1:18" ht="19.5" hidden="1">
      <c r="B25" s="335" t="s">
        <v>1311</v>
      </c>
      <c r="C25" s="325"/>
      <c r="D25" s="333"/>
      <c r="E25" s="333"/>
      <c r="F25" s="599"/>
      <c r="G25" s="599"/>
      <c r="H25" s="599"/>
      <c r="I25" s="599"/>
      <c r="J25" s="599"/>
      <c r="K25" s="599"/>
      <c r="L25" s="599"/>
      <c r="M25" s="599"/>
      <c r="N25" s="599"/>
      <c r="O25" s="325">
        <f t="shared" si="3"/>
        <v>0</v>
      </c>
      <c r="Q25" s="600"/>
    </row>
    <row r="26" spans="1:18" ht="19.5" hidden="1">
      <c r="B26" s="335" t="s">
        <v>1312</v>
      </c>
      <c r="C26" s="325"/>
      <c r="D26" s="333"/>
      <c r="E26" s="333"/>
      <c r="F26" s="599"/>
      <c r="G26" s="599"/>
      <c r="H26" s="599"/>
      <c r="I26" s="599"/>
      <c r="J26" s="599"/>
      <c r="K26" s="599"/>
      <c r="L26" s="599"/>
      <c r="M26" s="599"/>
      <c r="N26" s="599"/>
      <c r="O26" s="325">
        <f t="shared" si="3"/>
        <v>0</v>
      </c>
      <c r="Q26" s="600"/>
    </row>
    <row r="27" spans="1:18" s="605" customFormat="1" ht="19.5">
      <c r="A27" s="601"/>
      <c r="B27" s="608" t="s">
        <v>532</v>
      </c>
      <c r="C27" s="587">
        <v>5000</v>
      </c>
      <c r="D27" s="607">
        <f>1441.56+20973+1800+1400+1125+3600+600+6897+576-1646.04</f>
        <v>36766.519999999997</v>
      </c>
      <c r="E27" s="607">
        <f>13730.4+1125+4074+12000+3450+920+2100+300+5016+15000-240-19680</f>
        <v>37795.4</v>
      </c>
      <c r="F27" s="603">
        <v>12230</v>
      </c>
      <c r="G27" s="603">
        <f>239999.26/8</f>
        <v>29999.907500000001</v>
      </c>
      <c r="H27" s="603">
        <f>G27</f>
        <v>29999.907500000001</v>
      </c>
      <c r="I27" s="603">
        <f t="shared" ref="I27:N27" si="7">H27</f>
        <v>29999.907500000001</v>
      </c>
      <c r="J27" s="603">
        <f t="shared" si="7"/>
        <v>29999.907500000001</v>
      </c>
      <c r="K27" s="603">
        <f t="shared" si="7"/>
        <v>29999.907500000001</v>
      </c>
      <c r="L27" s="603">
        <f t="shared" si="7"/>
        <v>29999.907500000001</v>
      </c>
      <c r="M27" s="603">
        <f>L27</f>
        <v>29999.907500000001</v>
      </c>
      <c r="N27" s="603">
        <f t="shared" si="7"/>
        <v>29999.907500000001</v>
      </c>
      <c r="O27" s="587">
        <f>SUM(C27:N27)</f>
        <v>331791.17999999993</v>
      </c>
      <c r="P27"/>
      <c r="Q27" s="600"/>
      <c r="R27" s="601"/>
    </row>
    <row r="28" spans="1:18" ht="19.5" hidden="1">
      <c r="B28" s="336" t="s">
        <v>1313</v>
      </c>
      <c r="C28" s="325"/>
      <c r="D28" s="333"/>
      <c r="E28" s="333"/>
      <c r="F28" s="599"/>
      <c r="G28" s="599"/>
      <c r="H28" s="599"/>
      <c r="I28" s="599"/>
      <c r="J28" s="599"/>
      <c r="K28" s="599"/>
      <c r="L28" s="599"/>
      <c r="M28" s="599"/>
      <c r="N28" s="599"/>
      <c r="O28" s="325">
        <f t="shared" si="3"/>
        <v>0</v>
      </c>
      <c r="Q28" s="600"/>
    </row>
    <row r="29" spans="1:18" ht="19.5" hidden="1">
      <c r="B29" s="336" t="s">
        <v>1314</v>
      </c>
      <c r="C29" s="325"/>
      <c r="D29" s="333"/>
      <c r="E29" s="333"/>
      <c r="F29" s="599"/>
      <c r="G29" s="599"/>
      <c r="H29" s="599"/>
      <c r="I29" s="599"/>
      <c r="J29" s="599"/>
      <c r="K29" s="599"/>
      <c r="L29" s="599"/>
      <c r="M29" s="599"/>
      <c r="N29" s="599"/>
      <c r="O29" s="325">
        <f t="shared" si="3"/>
        <v>0</v>
      </c>
      <c r="Q29" s="600"/>
    </row>
    <row r="30" spans="1:18" ht="18.75" hidden="1">
      <c r="B30" s="337" t="s">
        <v>1315</v>
      </c>
      <c r="C30" s="325"/>
      <c r="D30" s="333"/>
      <c r="E30" s="333"/>
      <c r="F30" s="599"/>
      <c r="G30" s="599"/>
      <c r="H30" s="599"/>
      <c r="I30" s="599"/>
      <c r="J30" s="599"/>
      <c r="K30" s="599"/>
      <c r="L30" s="599"/>
      <c r="M30" s="599"/>
      <c r="N30" s="599"/>
      <c r="O30" s="325">
        <f t="shared" si="3"/>
        <v>0</v>
      </c>
      <c r="Q30" s="600"/>
    </row>
    <row r="31" spans="1:18" ht="19.5">
      <c r="B31" s="334" t="s">
        <v>1569</v>
      </c>
      <c r="C31" s="325"/>
      <c r="D31" s="333"/>
      <c r="E31" s="333"/>
      <c r="F31" s="333">
        <v>2302.56</v>
      </c>
      <c r="G31" s="333"/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25">
        <f>SUM(C31:N31)</f>
        <v>2302.56</v>
      </c>
      <c r="Q31" s="600"/>
    </row>
    <row r="32" spans="1:18" ht="18.75">
      <c r="B32" s="338"/>
      <c r="C32" s="323">
        <f>C10+C2</f>
        <v>11810</v>
      </c>
      <c r="D32" s="323">
        <f t="shared" ref="D32:M32" si="8">D10+D2</f>
        <v>47948.369999999995</v>
      </c>
      <c r="E32" s="323">
        <f t="shared" si="8"/>
        <v>56158.840000000004</v>
      </c>
      <c r="F32" s="323">
        <f t="shared" si="8"/>
        <v>75739.850000000006</v>
      </c>
      <c r="G32" s="323">
        <f>G10+G2</f>
        <v>65194.479999999996</v>
      </c>
      <c r="H32" s="323">
        <f t="shared" si="8"/>
        <v>76424.48000000001</v>
      </c>
      <c r="I32" s="323">
        <f t="shared" si="8"/>
        <v>70064.479999999996</v>
      </c>
      <c r="J32" s="323">
        <f t="shared" si="8"/>
        <v>64344.479999999996</v>
      </c>
      <c r="K32" s="323">
        <f t="shared" si="8"/>
        <v>76424.48000000001</v>
      </c>
      <c r="L32" s="323">
        <f t="shared" si="8"/>
        <v>64344.479999999996</v>
      </c>
      <c r="M32" s="323">
        <f t="shared" si="8"/>
        <v>64344.479999999996</v>
      </c>
      <c r="N32" s="323">
        <f>N10+N2</f>
        <v>76085.48000000001</v>
      </c>
      <c r="O32" s="323">
        <f>O10+O2</f>
        <v>748883.89999999991</v>
      </c>
      <c r="Q32" s="600"/>
    </row>
    <row r="33" spans="2:17">
      <c r="C33" s="391"/>
      <c r="D33" s="391"/>
      <c r="E33" s="391"/>
      <c r="Q33" s="600"/>
    </row>
    <row r="34" spans="2:17" ht="15.75" thickBot="1">
      <c r="C34" s="391"/>
      <c r="D34" s="391"/>
      <c r="E34" s="391"/>
      <c r="O34" s="73"/>
    </row>
    <row r="35" spans="2:17" ht="21">
      <c r="B35" s="910"/>
      <c r="C35" s="911"/>
      <c r="D35" s="878" t="s">
        <v>265</v>
      </c>
      <c r="E35" s="872"/>
      <c r="F35" s="873"/>
      <c r="G35" s="880" t="s">
        <v>224</v>
      </c>
      <c r="H35" s="873"/>
      <c r="I35" s="873"/>
      <c r="J35" s="880" t="s">
        <v>225</v>
      </c>
      <c r="K35" s="874"/>
      <c r="L35" s="874"/>
      <c r="M35" s="880" t="s">
        <v>263</v>
      </c>
      <c r="N35" s="882"/>
      <c r="O35" s="878" t="s">
        <v>1424</v>
      </c>
    </row>
    <row r="36" spans="2:17" ht="21">
      <c r="B36" s="912"/>
      <c r="C36" s="913"/>
      <c r="D36" s="879"/>
      <c r="E36" s="875"/>
      <c r="F36" s="268"/>
      <c r="G36" s="881"/>
      <c r="H36" s="268"/>
      <c r="I36" s="268"/>
      <c r="J36" s="881"/>
      <c r="K36" s="268"/>
      <c r="L36" s="268"/>
      <c r="M36" s="881"/>
      <c r="N36" s="881"/>
      <c r="O36" s="883"/>
    </row>
    <row r="37" spans="2:17" ht="21.75" thickBot="1">
      <c r="B37" s="914"/>
      <c r="C37" s="915"/>
      <c r="D37" s="903">
        <f>C32+D32+E32</f>
        <v>115917.20999999999</v>
      </c>
      <c r="E37" s="876"/>
      <c r="F37" s="877"/>
      <c r="G37" s="903">
        <f>F32+G32+H32</f>
        <v>217358.81000000003</v>
      </c>
      <c r="H37" s="904"/>
      <c r="I37" s="905"/>
      <c r="J37" s="903">
        <f>I32+J32+K32</f>
        <v>210833.44</v>
      </c>
      <c r="K37" s="904"/>
      <c r="L37" s="904"/>
      <c r="M37" s="903">
        <f>L32+M32+N32</f>
        <v>204774.44</v>
      </c>
      <c r="N37" s="906"/>
      <c r="O37" s="903">
        <f>D37+G37+J37+M37</f>
        <v>748883.89999999991</v>
      </c>
    </row>
    <row r="38" spans="2:17">
      <c r="C38" s="391"/>
      <c r="D38" s="391"/>
      <c r="E38" s="391"/>
      <c r="O38" s="391">
        <f>O32-O37</f>
        <v>0</v>
      </c>
    </row>
    <row r="39" spans="2:17">
      <c r="C39" s="391"/>
      <c r="D39" s="391"/>
      <c r="E39" s="391"/>
    </row>
    <row r="40" spans="2:17">
      <c r="C40" s="391"/>
      <c r="D40" s="391"/>
      <c r="E40" s="391"/>
    </row>
    <row r="41" spans="2:17">
      <c r="C41" s="391"/>
      <c r="D41" s="391"/>
      <c r="E41" s="391"/>
    </row>
    <row r="42" spans="2:17">
      <c r="C42" s="391"/>
      <c r="D42" s="391"/>
      <c r="E42" s="391"/>
    </row>
    <row r="43" spans="2:17">
      <c r="C43" s="391"/>
      <c r="D43" s="391"/>
      <c r="E43" s="391"/>
    </row>
    <row r="44" spans="2:17">
      <c r="C44" s="391"/>
      <c r="D44" s="391"/>
      <c r="E44" s="391"/>
    </row>
    <row r="45" spans="2:17">
      <c r="C45" s="391"/>
      <c r="D45" s="391"/>
      <c r="E45" s="391"/>
    </row>
    <row r="46" spans="2:17">
      <c r="C46" s="391"/>
      <c r="D46" s="391"/>
      <c r="E46" s="391"/>
    </row>
    <row r="47" spans="2:17">
      <c r="C47" s="391"/>
      <c r="D47" s="391"/>
      <c r="E47" s="391"/>
    </row>
    <row r="48" spans="2:17">
      <c r="C48" s="391"/>
      <c r="D48" s="391"/>
      <c r="E48" s="391"/>
    </row>
    <row r="49" spans="3:5">
      <c r="C49" s="391"/>
      <c r="D49" s="391"/>
      <c r="E49" s="391"/>
    </row>
  </sheetData>
  <phoneticPr fontId="55" type="noConversion"/>
  <conditionalFormatting sqref="E23 C32:O32 D23:D24 O16:O31 F23:N24 C2:C31 C2:O15">
    <cfRule type="cellIs" dxfId="14" priority="141" operator="lessThan">
      <formula>0</formula>
    </cfRule>
  </conditionalFormatting>
  <conditionalFormatting sqref="C8:E8">
    <cfRule type="cellIs" dxfId="13" priority="12" operator="lessThan">
      <formula>0</formula>
    </cfRule>
  </conditionalFormatting>
  <conditionalFormatting sqref="C8:E8">
    <cfRule type="cellIs" dxfId="12" priority="11" operator="lessThan">
      <formula>0</formula>
    </cfRule>
  </conditionalFormatting>
  <conditionalFormatting sqref="C8:E8">
    <cfRule type="cellIs" dxfId="11" priority="10" operator="lessThan">
      <formula>0</formula>
    </cfRule>
  </conditionalFormatting>
  <conditionalFormatting sqref="C8:E8">
    <cfRule type="cellIs" dxfId="10" priority="9" operator="lessThan">
      <formula>0</formula>
    </cfRule>
  </conditionalFormatting>
  <conditionalFormatting sqref="C8:E8">
    <cfRule type="cellIs" dxfId="9" priority="8" operator="lessThan">
      <formula>0</formula>
    </cfRule>
  </conditionalFormatting>
  <conditionalFormatting sqref="C8:E8">
    <cfRule type="cellIs" dxfId="8" priority="7" operator="lessThan">
      <formula>0</formula>
    </cfRule>
  </conditionalFormatting>
  <conditionalFormatting sqref="C8:E8">
    <cfRule type="cellIs" dxfId="7" priority="6" operator="lessThan">
      <formula>0</formula>
    </cfRule>
  </conditionalFormatting>
  <conditionalFormatting sqref="C8:E8">
    <cfRule type="cellIs" dxfId="6" priority="5" operator="lessThan">
      <formula>0</formula>
    </cfRule>
  </conditionalFormatting>
  <conditionalFormatting sqref="C8:E8">
    <cfRule type="cellIs" dxfId="5" priority="4" operator="lessThan">
      <formula>0</formula>
    </cfRule>
  </conditionalFormatting>
  <conditionalFormatting sqref="C8:E8">
    <cfRule type="cellIs" dxfId="4" priority="3" operator="lessThan">
      <formula>0</formula>
    </cfRule>
  </conditionalFormatting>
  <conditionalFormatting sqref="C8:E8">
    <cfRule type="cellIs" dxfId="3" priority="2" operator="lessThan">
      <formula>0</formula>
    </cfRule>
  </conditionalFormatting>
  <conditionalFormatting sqref="C8:E8">
    <cfRule type="cellIs" dxfId="2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O16:O32 D5:E15 C2:E3 F2:O15 D23:E23 D32:N32 G23:N24 C4:C32">
      <formula1>0</formula1>
    </dataValidation>
  </dataValidations>
  <pageMargins left="0" right="0" top="0" bottom="0" header="0" footer="0"/>
  <pageSetup paperSize="9" scale="5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7"/>
  <sheetViews>
    <sheetView topLeftCell="A4" zoomScale="70" zoomScaleNormal="70" workbookViewId="0">
      <selection activeCell="D28" sqref="D28"/>
    </sheetView>
  </sheetViews>
  <sheetFormatPr defaultRowHeight="15"/>
  <cols>
    <col min="1" max="1" width="8.42578125" customWidth="1"/>
    <col min="2" max="2" width="46.5703125" customWidth="1"/>
    <col min="3" max="3" width="14" customWidth="1"/>
    <col min="4" max="5" width="14.140625" customWidth="1"/>
    <col min="6" max="6" width="13" customWidth="1"/>
    <col min="7" max="7" width="13.28515625" customWidth="1"/>
    <col min="8" max="8" width="13.42578125" customWidth="1"/>
    <col min="9" max="9" width="12.85546875" customWidth="1"/>
    <col min="10" max="14" width="13" customWidth="1"/>
    <col min="15" max="15" width="14.7109375" customWidth="1"/>
    <col min="16" max="16" width="14.42578125" customWidth="1"/>
    <col min="17" max="17" width="14" customWidth="1"/>
    <col min="18" max="18" width="14.7109375" customWidth="1"/>
    <col min="19" max="19" width="15.42578125" customWidth="1"/>
    <col min="21" max="21" width="22.42578125" customWidth="1"/>
    <col min="22" max="22" width="22.7109375" customWidth="1"/>
    <col min="23" max="23" width="17.28515625" customWidth="1"/>
    <col min="24" max="24" width="17" customWidth="1"/>
    <col min="25" max="25" width="24.28515625" customWidth="1"/>
    <col min="26" max="26" width="21.7109375" customWidth="1"/>
    <col min="27" max="27" width="12.5703125" customWidth="1"/>
    <col min="30" max="31" width="12.42578125" customWidth="1"/>
    <col min="32" max="32" width="12.85546875" customWidth="1"/>
    <col min="33" max="33" width="11.140625" customWidth="1"/>
  </cols>
  <sheetData>
    <row r="1" spans="1:34" ht="18.75">
      <c r="A1" s="812"/>
      <c r="B1" s="994" t="s">
        <v>213</v>
      </c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813"/>
    </row>
    <row r="2" spans="1:34" ht="18.75">
      <c r="A2" s="812"/>
      <c r="B2" s="814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</row>
    <row r="3" spans="1:34" ht="81" customHeight="1">
      <c r="A3" s="816" t="s">
        <v>1279</v>
      </c>
      <c r="B3" s="817"/>
      <c r="C3" s="816" t="s">
        <v>1447</v>
      </c>
      <c r="D3" s="816" t="s">
        <v>1448</v>
      </c>
      <c r="E3" s="816" t="s">
        <v>1449</v>
      </c>
      <c r="F3" s="816" t="s">
        <v>1450</v>
      </c>
      <c r="G3" s="816" t="s">
        <v>1451</v>
      </c>
      <c r="H3" s="816" t="s">
        <v>1452</v>
      </c>
      <c r="I3" s="816" t="s">
        <v>1453</v>
      </c>
      <c r="J3" s="816" t="s">
        <v>1454</v>
      </c>
      <c r="K3" s="816" t="s">
        <v>1455</v>
      </c>
      <c r="L3" s="816" t="s">
        <v>1456</v>
      </c>
      <c r="M3" s="816" t="s">
        <v>1457</v>
      </c>
      <c r="N3" s="816" t="s">
        <v>1458</v>
      </c>
      <c r="O3" s="818" t="s">
        <v>1586</v>
      </c>
      <c r="P3" s="818" t="s">
        <v>1587</v>
      </c>
      <c r="Q3" s="818" t="s">
        <v>1588</v>
      </c>
      <c r="R3" s="818" t="s">
        <v>1589</v>
      </c>
      <c r="S3" s="818" t="s">
        <v>1590</v>
      </c>
      <c r="U3" s="819" t="s">
        <v>281</v>
      </c>
      <c r="V3" s="819" t="s">
        <v>282</v>
      </c>
      <c r="W3" s="899" t="s">
        <v>283</v>
      </c>
      <c r="X3" s="899" t="s">
        <v>284</v>
      </c>
      <c r="Y3" s="899" t="s">
        <v>285</v>
      </c>
      <c r="Z3" s="899" t="s">
        <v>286</v>
      </c>
      <c r="AA3" s="899" t="s">
        <v>287</v>
      </c>
      <c r="AB3" s="899" t="s">
        <v>288</v>
      </c>
      <c r="AC3" s="899" t="s">
        <v>290</v>
      </c>
      <c r="AD3" s="899" t="s">
        <v>292</v>
      </c>
      <c r="AE3" s="899" t="s">
        <v>289</v>
      </c>
      <c r="AF3" s="899" t="s">
        <v>293</v>
      </c>
      <c r="AG3" s="899" t="s">
        <v>291</v>
      </c>
    </row>
    <row r="4" spans="1:34" ht="18.75">
      <c r="A4" s="820">
        <f>'[36]штат-розп'!K212</f>
        <v>3</v>
      </c>
      <c r="B4" s="843" t="s">
        <v>1400</v>
      </c>
      <c r="C4" s="821">
        <f ca="1">' тарифікація 01.01'!AB445</f>
        <v>60343.857600000003</v>
      </c>
      <c r="D4" s="821">
        <f ca="1">C4</f>
        <v>60343.857600000003</v>
      </c>
      <c r="E4" s="821">
        <f>D4</f>
        <v>60343.857600000003</v>
      </c>
      <c r="F4" s="821">
        <f ca="1">'тарифікація на 01. 04'!AB445</f>
        <v>60343.857600000003</v>
      </c>
      <c r="G4" s="821">
        <f t="shared" ref="G4:N4" si="0">F4</f>
        <v>60343.857600000003</v>
      </c>
      <c r="H4" s="821">
        <f t="shared" si="0"/>
        <v>60343.857600000003</v>
      </c>
      <c r="I4" s="821">
        <f t="shared" si="0"/>
        <v>60343.857600000003</v>
      </c>
      <c r="J4" s="821">
        <f t="shared" si="0"/>
        <v>60343.857600000003</v>
      </c>
      <c r="K4" s="821">
        <f t="shared" si="0"/>
        <v>60343.857600000003</v>
      </c>
      <c r="L4" s="821">
        <f t="shared" si="0"/>
        <v>60343.857600000003</v>
      </c>
      <c r="M4" s="821">
        <f t="shared" si="0"/>
        <v>60343.857600000003</v>
      </c>
      <c r="N4" s="821">
        <f t="shared" si="0"/>
        <v>60343.857600000003</v>
      </c>
      <c r="O4" s="821">
        <f t="shared" ref="O4:O13" si="1">C4+D4+E4</f>
        <v>181031.57280000002</v>
      </c>
      <c r="P4" s="821">
        <f>F4+G4+H4</f>
        <v>181031.57280000002</v>
      </c>
      <c r="Q4" s="821">
        <f>I4+J4+K4</f>
        <v>181031.57280000002</v>
      </c>
      <c r="R4" s="821">
        <f>L4+M4+N4</f>
        <v>181031.57280000002</v>
      </c>
      <c r="S4" s="821">
        <f>SUM(O4:R4)</f>
        <v>724126.29120000009</v>
      </c>
      <c r="U4" s="898">
        <f ca="1">SUM(' тарифікація 01.01'!AB76:AB86)</f>
        <v>71000</v>
      </c>
      <c r="V4" s="822">
        <f ca="1">SUM('[36]Тарифікація 2'!AG76:AG86)</f>
        <v>80000</v>
      </c>
      <c r="W4" s="898">
        <f ca="1">' тарифікація 01.01'!AB64</f>
        <v>3550</v>
      </c>
      <c r="X4" s="900">
        <f ca="1">'тарифікація на 01. 04'!AB64</f>
        <v>4000</v>
      </c>
      <c r="Y4" s="900">
        <f ca="1">SUM(' тарифікація 01.01'!AB69:AB73)</f>
        <v>36778</v>
      </c>
      <c r="Z4" s="900">
        <f ca="1">SUM('тарифікація на 01. 04'!AB69:AB73)</f>
        <v>41278</v>
      </c>
      <c r="AA4" s="584">
        <f ca="1">Енергоносії...!J3</f>
        <v>1316.7</v>
      </c>
      <c r="AB4">
        <f ca="1">Енергоносії...!J2</f>
        <v>11973.4</v>
      </c>
      <c r="AC4">
        <v>3534.2</v>
      </c>
      <c r="AD4" s="73">
        <f>U4/AB4*AA4</f>
        <v>7807.7822506556204</v>
      </c>
      <c r="AE4" s="73">
        <f>(W4+Y4)/AC4*AA4</f>
        <v>15024.581970460076</v>
      </c>
      <c r="AF4" s="73">
        <f>V4/AB4*AA4</f>
        <v>8797.5011274992903</v>
      </c>
      <c r="AG4">
        <f>(X4+Z4)/AC4*AA4</f>
        <v>16868.751796729106</v>
      </c>
    </row>
    <row r="5" spans="1:34" ht="23.25" customHeight="1">
      <c r="A5" s="820"/>
      <c r="B5" s="824" t="s">
        <v>223</v>
      </c>
      <c r="C5" s="821"/>
      <c r="D5" s="821">
        <f ca="1">' тарифікація 01.01'!AC445</f>
        <v>2380.2738499999978</v>
      </c>
      <c r="E5" s="821">
        <f>D5</f>
        <v>2380.2738499999978</v>
      </c>
      <c r="F5" s="821">
        <f ca="1">'тарифікація на 01. 04'!AC445</f>
        <v>2380.2738499999978</v>
      </c>
      <c r="G5" s="821"/>
      <c r="H5" s="821"/>
      <c r="I5" s="821"/>
      <c r="J5" s="821"/>
      <c r="K5" s="821"/>
      <c r="L5" s="821">
        <f>F5</f>
        <v>2380.2738499999978</v>
      </c>
      <c r="M5" s="821"/>
      <c r="N5" s="821">
        <f>M5</f>
        <v>0</v>
      </c>
      <c r="O5" s="821">
        <f t="shared" si="1"/>
        <v>4760.5476999999955</v>
      </c>
      <c r="P5" s="821">
        <f>F5+G5+H5</f>
        <v>2380.2738499999978</v>
      </c>
      <c r="Q5" s="821">
        <f>I5+J5+K5</f>
        <v>0</v>
      </c>
      <c r="R5" s="821">
        <f>L5+M5+N5</f>
        <v>2380.2738499999978</v>
      </c>
      <c r="S5" s="821">
        <f>SUM(O5:R5)</f>
        <v>9521.0953999999911</v>
      </c>
      <c r="V5" s="822"/>
      <c r="AD5" s="73">
        <f>AD4*1.2</f>
        <v>9369.3387007867441</v>
      </c>
      <c r="AE5" s="73">
        <f>AE4*1.2</f>
        <v>18029.498364552092</v>
      </c>
      <c r="AF5" s="73">
        <f>AF4*1.2</f>
        <v>10557.001352999148</v>
      </c>
      <c r="AG5" s="73">
        <f>AG4*1.2</f>
        <v>20242.502156074926</v>
      </c>
      <c r="AH5" s="901" t="s">
        <v>294</v>
      </c>
    </row>
    <row r="6" spans="1:34" ht="18.75">
      <c r="A6" s="820"/>
      <c r="B6" s="826" t="s">
        <v>1698</v>
      </c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>
        <f t="shared" si="1"/>
        <v>0</v>
      </c>
      <c r="P6" s="821">
        <f>F6+G6+H6</f>
        <v>0</v>
      </c>
      <c r="Q6" s="821">
        <f>I6+J6+K6</f>
        <v>0</v>
      </c>
      <c r="R6" s="821">
        <f>L6+M6+N6</f>
        <v>0</v>
      </c>
      <c r="S6" s="821">
        <f>SUM(O6:R6)</f>
        <v>0</v>
      </c>
      <c r="V6" s="822"/>
    </row>
    <row r="7" spans="1:34" ht="18.75">
      <c r="A7" s="820"/>
      <c r="B7" s="844" t="s">
        <v>1424</v>
      </c>
      <c r="C7" s="828">
        <f t="shared" ref="C7:M7" si="2">SUM(C4:C6)</f>
        <v>60343.857600000003</v>
      </c>
      <c r="D7" s="828">
        <f t="shared" si="2"/>
        <v>62724.131450000001</v>
      </c>
      <c r="E7" s="828">
        <f t="shared" si="2"/>
        <v>62724.131450000001</v>
      </c>
      <c r="F7" s="828">
        <f t="shared" si="2"/>
        <v>62724.131450000001</v>
      </c>
      <c r="G7" s="828">
        <f t="shared" si="2"/>
        <v>60343.857600000003</v>
      </c>
      <c r="H7" s="828">
        <f t="shared" si="2"/>
        <v>60343.857600000003</v>
      </c>
      <c r="I7" s="828">
        <f t="shared" si="2"/>
        <v>60343.857600000003</v>
      </c>
      <c r="J7" s="828">
        <f t="shared" si="2"/>
        <v>60343.857600000003</v>
      </c>
      <c r="K7" s="828">
        <f t="shared" si="2"/>
        <v>60343.857600000003</v>
      </c>
      <c r="L7" s="828">
        <f t="shared" si="2"/>
        <v>62724.131450000001</v>
      </c>
      <c r="M7" s="828">
        <f t="shared" si="2"/>
        <v>60343.857600000003</v>
      </c>
      <c r="N7" s="828">
        <f>SUM(N4:N6)</f>
        <v>60343.857600000003</v>
      </c>
      <c r="O7" s="828">
        <f>C7+D7+E7</f>
        <v>185792.12050000002</v>
      </c>
      <c r="P7" s="828">
        <f>F7+G7+H7</f>
        <v>183411.84665000002</v>
      </c>
      <c r="Q7" s="828">
        <f>I7+J7+K7</f>
        <v>181031.57280000002</v>
      </c>
      <c r="R7" s="828">
        <f>L7+M7+N7</f>
        <v>183411.84665000002</v>
      </c>
      <c r="S7" s="828">
        <f>SUM(O7:R7)</f>
        <v>733647.38660000009</v>
      </c>
      <c r="V7" s="822"/>
    </row>
    <row r="8" spans="1:34" ht="18.75">
      <c r="A8" s="820">
        <f>'[36]штат-розп'!K213</f>
        <v>13</v>
      </c>
      <c r="B8" s="843" t="s">
        <v>1398</v>
      </c>
      <c r="C8" s="821">
        <f ca="1">' тарифікація 01.01'!AB446+' тарифікація 01.01'!AB447+' тарифікація 01.01'!AB448</f>
        <v>152948.31899999999</v>
      </c>
      <c r="D8" s="821">
        <f ca="1">C8</f>
        <v>152948.31899999999</v>
      </c>
      <c r="E8" s="821">
        <f>D8</f>
        <v>152948.31899999999</v>
      </c>
      <c r="F8" s="821">
        <f ca="1">'тарифікація на 01. 04'!AB446+'тарифікація на 01. 04'!AB447+'тарифікація на 01. 04'!AB448</f>
        <v>155648.31899999999</v>
      </c>
      <c r="G8" s="821">
        <f t="shared" ref="G8:N8" si="3">F8</f>
        <v>155648.31899999999</v>
      </c>
      <c r="H8" s="821">
        <f t="shared" si="3"/>
        <v>155648.31899999999</v>
      </c>
      <c r="I8" s="821">
        <f t="shared" si="3"/>
        <v>155648.31899999999</v>
      </c>
      <c r="J8" s="821">
        <f t="shared" si="3"/>
        <v>155648.31899999999</v>
      </c>
      <c r="K8" s="821">
        <f t="shared" si="3"/>
        <v>155648.31899999999</v>
      </c>
      <c r="L8" s="821">
        <f t="shared" si="3"/>
        <v>155648.31899999999</v>
      </c>
      <c r="M8" s="821">
        <f t="shared" si="3"/>
        <v>155648.31899999999</v>
      </c>
      <c r="N8" s="821">
        <f t="shared" si="3"/>
        <v>155648.31899999999</v>
      </c>
      <c r="O8" s="821">
        <f t="shared" si="1"/>
        <v>458844.95699999994</v>
      </c>
      <c r="P8" s="821">
        <f t="shared" ref="P8:P26" si="4">F8+G8+H8</f>
        <v>466944.95699999994</v>
      </c>
      <c r="Q8" s="821">
        <f t="shared" ref="Q8:Q29" si="5">I8+J8+K8</f>
        <v>466944.95699999994</v>
      </c>
      <c r="R8" s="821">
        <f t="shared" ref="R8:R23" si="6">L8+M8+N8</f>
        <v>466944.95699999994</v>
      </c>
      <c r="S8" s="821">
        <f t="shared" ref="S8:S29" si="7">SUM(O8:R8)</f>
        <v>1859679.8279999997</v>
      </c>
    </row>
    <row r="9" spans="1:34" ht="24.75" customHeight="1">
      <c r="A9" s="820"/>
      <c r="B9" s="824" t="s">
        <v>223</v>
      </c>
      <c r="C9" s="821"/>
      <c r="D9" s="821">
        <f ca="1">' тарифікація 01.01'!AC446+' тарифікація 01.01'!AC447</f>
        <v>48460.396500000003</v>
      </c>
      <c r="E9" s="821">
        <f>D9</f>
        <v>48460.396500000003</v>
      </c>
      <c r="F9" s="821">
        <f ca="1">'тарифікація на 01. 04'!AC446+'тарифікація на 01. 04'!AC447+'тарифікація на 01. 04'!AC448</f>
        <v>48460.396500000003</v>
      </c>
      <c r="G9" s="821"/>
      <c r="H9" s="821"/>
      <c r="I9" s="821"/>
      <c r="J9" s="821"/>
      <c r="K9" s="821"/>
      <c r="L9" s="821">
        <f>F9</f>
        <v>48460.396500000003</v>
      </c>
      <c r="M9" s="821"/>
      <c r="N9" s="821"/>
      <c r="O9" s="821">
        <f t="shared" si="1"/>
        <v>96920.793000000005</v>
      </c>
      <c r="P9" s="821">
        <f t="shared" si="4"/>
        <v>48460.396500000003</v>
      </c>
      <c r="Q9" s="821">
        <f t="shared" si="5"/>
        <v>0</v>
      </c>
      <c r="R9" s="821">
        <f t="shared" si="6"/>
        <v>48460.396500000003</v>
      </c>
      <c r="S9" s="821">
        <f t="shared" si="7"/>
        <v>193841.58600000001</v>
      </c>
    </row>
    <row r="10" spans="1:34" ht="18.75">
      <c r="A10" s="820"/>
      <c r="B10" s="826" t="s">
        <v>1698</v>
      </c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>
        <f t="shared" si="1"/>
        <v>0</v>
      </c>
      <c r="P10" s="821">
        <f t="shared" si="4"/>
        <v>0</v>
      </c>
      <c r="Q10" s="821">
        <f t="shared" si="5"/>
        <v>0</v>
      </c>
      <c r="R10" s="821">
        <f t="shared" si="6"/>
        <v>0</v>
      </c>
      <c r="S10" s="821">
        <f t="shared" si="7"/>
        <v>0</v>
      </c>
    </row>
    <row r="11" spans="1:34" ht="18.75">
      <c r="A11" s="820"/>
      <c r="B11" s="826" t="s">
        <v>214</v>
      </c>
      <c r="C11" s="821">
        <f ca="1">' тарифікація 01.01'!AX448</f>
        <v>20095.873500000002</v>
      </c>
      <c r="D11" s="821">
        <f ca="1">C11</f>
        <v>20095.873500000002</v>
      </c>
      <c r="E11" s="821">
        <f>D11</f>
        <v>20095.873500000002</v>
      </c>
      <c r="F11" s="821">
        <f ca="1">'тарифікація на 01. 04'!AX446+'тарифікація на 01. 04'!AX447+'тарифікація на 01. 04'!AX448</f>
        <v>17395.873500000002</v>
      </c>
      <c r="G11" s="821">
        <f>F11</f>
        <v>17395.873500000002</v>
      </c>
      <c r="H11" s="821">
        <f t="shared" ref="H11:M11" si="8">G11</f>
        <v>17395.873500000002</v>
      </c>
      <c r="I11" s="821">
        <f t="shared" si="8"/>
        <v>17395.873500000002</v>
      </c>
      <c r="J11" s="821">
        <f t="shared" si="8"/>
        <v>17395.873500000002</v>
      </c>
      <c r="K11" s="821">
        <f t="shared" si="8"/>
        <v>17395.873500000002</v>
      </c>
      <c r="L11" s="821">
        <f t="shared" si="8"/>
        <v>17395.873500000002</v>
      </c>
      <c r="M11" s="821">
        <f t="shared" si="8"/>
        <v>17395.873500000002</v>
      </c>
      <c r="N11" s="821">
        <f>M11</f>
        <v>17395.873500000002</v>
      </c>
      <c r="O11" s="821">
        <f t="shared" si="1"/>
        <v>60287.620500000005</v>
      </c>
      <c r="P11" s="821">
        <f t="shared" si="4"/>
        <v>52187.620500000005</v>
      </c>
      <c r="Q11" s="821">
        <f t="shared" si="5"/>
        <v>52187.620500000005</v>
      </c>
      <c r="R11" s="821">
        <f t="shared" si="6"/>
        <v>52187.620500000005</v>
      </c>
      <c r="S11" s="821">
        <f t="shared" si="7"/>
        <v>216850.48200000002</v>
      </c>
    </row>
    <row r="12" spans="1:34" ht="18.75">
      <c r="A12" s="820"/>
      <c r="B12" s="844" t="s">
        <v>1424</v>
      </c>
      <c r="C12" s="828">
        <f ca="1">SUM(C8:C11)</f>
        <v>173044.1925</v>
      </c>
      <c r="D12" s="828">
        <f t="shared" ref="D12:N12" si="9">SUM(D8:D11)</f>
        <v>221504.58899999998</v>
      </c>
      <c r="E12" s="828">
        <f t="shared" si="9"/>
        <v>221504.58899999998</v>
      </c>
      <c r="F12" s="828">
        <f t="shared" si="9"/>
        <v>221504.58899999998</v>
      </c>
      <c r="G12" s="828">
        <f t="shared" si="9"/>
        <v>173044.1925</v>
      </c>
      <c r="H12" s="828">
        <f t="shared" si="9"/>
        <v>173044.1925</v>
      </c>
      <c r="I12" s="828">
        <f t="shared" si="9"/>
        <v>173044.1925</v>
      </c>
      <c r="J12" s="828">
        <f t="shared" si="9"/>
        <v>173044.1925</v>
      </c>
      <c r="K12" s="828">
        <f t="shared" si="9"/>
        <v>173044.1925</v>
      </c>
      <c r="L12" s="828">
        <f t="shared" si="9"/>
        <v>221504.58899999998</v>
      </c>
      <c r="M12" s="828">
        <f t="shared" si="9"/>
        <v>173044.1925</v>
      </c>
      <c r="N12" s="828">
        <f t="shared" si="9"/>
        <v>173044.1925</v>
      </c>
      <c r="O12" s="828">
        <f>C12+D12+E12</f>
        <v>616053.37049999996</v>
      </c>
      <c r="P12" s="828">
        <f>F12+G12+H12</f>
        <v>567592.97399999993</v>
      </c>
      <c r="Q12" s="828">
        <f>I12+J12+K12</f>
        <v>519132.57750000001</v>
      </c>
      <c r="R12" s="828">
        <f>L12+M12+N12</f>
        <v>567592.97399999993</v>
      </c>
      <c r="S12" s="828">
        <f>SUM(O12:R12)</f>
        <v>2270371.8959999997</v>
      </c>
    </row>
    <row r="13" spans="1:34" ht="18.75">
      <c r="A13" s="820">
        <f>'[36]штат-розп'!K214</f>
        <v>41.25</v>
      </c>
      <c r="B13" s="843" t="s">
        <v>1500</v>
      </c>
      <c r="C13" s="821">
        <f ca="1">' тарифікація 01.01'!AB449</f>
        <v>380017.29125000001</v>
      </c>
      <c r="D13" s="821">
        <f ca="1">C13</f>
        <v>380017.29125000001</v>
      </c>
      <c r="E13" s="821">
        <f>D13</f>
        <v>380017.29125000001</v>
      </c>
      <c r="F13" s="821">
        <f ca="1">'тарифікація на 01. 04'!AB449</f>
        <v>385926.94750000001</v>
      </c>
      <c r="G13" s="821">
        <f t="shared" ref="G13:N13" si="10">F13</f>
        <v>385926.94750000001</v>
      </c>
      <c r="H13" s="821">
        <f t="shared" si="10"/>
        <v>385926.94750000001</v>
      </c>
      <c r="I13" s="821">
        <f t="shared" si="10"/>
        <v>385926.94750000001</v>
      </c>
      <c r="J13" s="821">
        <f t="shared" si="10"/>
        <v>385926.94750000001</v>
      </c>
      <c r="K13" s="821">
        <f t="shared" si="10"/>
        <v>385926.94750000001</v>
      </c>
      <c r="L13" s="821">
        <f t="shared" si="10"/>
        <v>385926.94750000001</v>
      </c>
      <c r="M13" s="821">
        <f t="shared" si="10"/>
        <v>385926.94750000001</v>
      </c>
      <c r="N13" s="821">
        <f t="shared" si="10"/>
        <v>385926.94750000001</v>
      </c>
      <c r="O13" s="821">
        <f t="shared" si="1"/>
        <v>1140051.87375</v>
      </c>
      <c r="P13" s="821">
        <f t="shared" si="4"/>
        <v>1157780.8425</v>
      </c>
      <c r="Q13" s="821">
        <f t="shared" si="5"/>
        <v>1157780.8425</v>
      </c>
      <c r="R13" s="821">
        <f t="shared" si="6"/>
        <v>1157780.8425</v>
      </c>
      <c r="S13" s="821">
        <f t="shared" si="7"/>
        <v>4613394.4012500001</v>
      </c>
    </row>
    <row r="14" spans="1:34" ht="21.75" customHeight="1">
      <c r="A14" s="820"/>
      <c r="B14" s="824" t="s">
        <v>223</v>
      </c>
      <c r="C14" s="821"/>
      <c r="D14" s="821">
        <f ca="1">' тарифікація 01.01'!AC449</f>
        <v>424982.70875000011</v>
      </c>
      <c r="E14" s="821">
        <f>D14</f>
        <v>424982.70875000011</v>
      </c>
      <c r="F14" s="821">
        <f ca="1">'тарифікація на 01. 04'!AC449</f>
        <v>419073.05249999999</v>
      </c>
      <c r="G14" s="821"/>
      <c r="H14" s="821"/>
      <c r="I14" s="821"/>
      <c r="J14" s="821"/>
      <c r="K14" s="821"/>
      <c r="L14" s="821">
        <f>F14</f>
        <v>419073.05249999999</v>
      </c>
      <c r="M14" s="821"/>
      <c r="N14" s="821"/>
      <c r="O14" s="821">
        <f t="shared" ref="O14:O25" si="11">C14+D14+E14</f>
        <v>849965.41750000021</v>
      </c>
      <c r="P14" s="821">
        <f>F14+G14+H14</f>
        <v>419073.05249999999</v>
      </c>
      <c r="Q14" s="821">
        <f t="shared" si="5"/>
        <v>0</v>
      </c>
      <c r="R14" s="821">
        <f t="shared" si="6"/>
        <v>419073.05249999999</v>
      </c>
      <c r="S14" s="821">
        <f t="shared" si="7"/>
        <v>1688111.5225000002</v>
      </c>
    </row>
    <row r="15" spans="1:34" ht="18.75">
      <c r="A15" s="820"/>
      <c r="B15" s="826" t="s">
        <v>1698</v>
      </c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>
        <f>C15+D15+E15</f>
        <v>0</v>
      </c>
      <c r="P15" s="821">
        <f>F15+G15+H15</f>
        <v>0</v>
      </c>
      <c r="Q15" s="821">
        <f t="shared" si="5"/>
        <v>0</v>
      </c>
      <c r="R15" s="821">
        <f t="shared" si="6"/>
        <v>0</v>
      </c>
      <c r="S15" s="821">
        <f t="shared" si="7"/>
        <v>0</v>
      </c>
    </row>
    <row r="16" spans="1:34" ht="18.75">
      <c r="A16" s="820"/>
      <c r="B16" s="844" t="s">
        <v>1424</v>
      </c>
      <c r="C16" s="828">
        <f ca="1">SUM(C13:C15)</f>
        <v>380017.29125000001</v>
      </c>
      <c r="D16" s="828">
        <f t="shared" ref="D16:N16" si="12">SUM(D13:D15)</f>
        <v>805000.00000000012</v>
      </c>
      <c r="E16" s="828">
        <f t="shared" si="12"/>
        <v>805000.00000000012</v>
      </c>
      <c r="F16" s="828">
        <f t="shared" si="12"/>
        <v>805000</v>
      </c>
      <c r="G16" s="828">
        <f t="shared" si="12"/>
        <v>385926.94750000001</v>
      </c>
      <c r="H16" s="828">
        <f t="shared" si="12"/>
        <v>385926.94750000001</v>
      </c>
      <c r="I16" s="828">
        <f t="shared" si="12"/>
        <v>385926.94750000001</v>
      </c>
      <c r="J16" s="828">
        <f t="shared" si="12"/>
        <v>385926.94750000001</v>
      </c>
      <c r="K16" s="828">
        <f t="shared" si="12"/>
        <v>385926.94750000001</v>
      </c>
      <c r="L16" s="828">
        <f t="shared" si="12"/>
        <v>805000</v>
      </c>
      <c r="M16" s="828">
        <f t="shared" si="12"/>
        <v>385926.94750000001</v>
      </c>
      <c r="N16" s="828">
        <f t="shared" si="12"/>
        <v>385926.94750000001</v>
      </c>
      <c r="O16" s="828">
        <f>C16+D16+E16</f>
        <v>1990017.2912500002</v>
      </c>
      <c r="P16" s="828">
        <f>F16+G16+H16</f>
        <v>1576853.895</v>
      </c>
      <c r="Q16" s="828">
        <f>I16+J16+K16</f>
        <v>1157780.8425</v>
      </c>
      <c r="R16" s="828">
        <f>L16+M16+N16</f>
        <v>1576853.895</v>
      </c>
      <c r="S16" s="828">
        <f>SUM(O16:R16)</f>
        <v>6301505.9237500001</v>
      </c>
    </row>
    <row r="17" spans="1:21" ht="18.75">
      <c r="A17" s="820">
        <f>'[36]штат-розп'!K215</f>
        <v>97.5</v>
      </c>
      <c r="B17" s="843" t="s">
        <v>1401</v>
      </c>
      <c r="C17" s="821">
        <f ca="1">' тарифікація 01.01'!AB450</f>
        <v>741783.19249999989</v>
      </c>
      <c r="D17" s="821">
        <f ca="1">C17</f>
        <v>741783.19249999989</v>
      </c>
      <c r="E17" s="821">
        <f>D17</f>
        <v>741783.19249999989</v>
      </c>
      <c r="F17" s="821">
        <f ca="1">'тарифікація на 01. 04'!AB450</f>
        <v>793378.78249999997</v>
      </c>
      <c r="G17" s="821">
        <f t="shared" ref="G17:N17" si="13">F17</f>
        <v>793378.78249999997</v>
      </c>
      <c r="H17" s="821">
        <f t="shared" si="13"/>
        <v>793378.78249999997</v>
      </c>
      <c r="I17" s="821">
        <f t="shared" si="13"/>
        <v>793378.78249999997</v>
      </c>
      <c r="J17" s="821">
        <f t="shared" si="13"/>
        <v>793378.78249999997</v>
      </c>
      <c r="K17" s="821">
        <f t="shared" si="13"/>
        <v>793378.78249999997</v>
      </c>
      <c r="L17" s="821">
        <f t="shared" si="13"/>
        <v>793378.78249999997</v>
      </c>
      <c r="M17" s="821">
        <f t="shared" si="13"/>
        <v>793378.78249999997</v>
      </c>
      <c r="N17" s="821">
        <f t="shared" si="13"/>
        <v>793378.78249999997</v>
      </c>
      <c r="O17" s="821">
        <f t="shared" si="11"/>
        <v>2225349.5774999997</v>
      </c>
      <c r="P17" s="821">
        <f t="shared" si="4"/>
        <v>2380136.3475000001</v>
      </c>
      <c r="Q17" s="821">
        <f t="shared" si="5"/>
        <v>2380136.3475000001</v>
      </c>
      <c r="R17" s="821">
        <f t="shared" si="6"/>
        <v>2380136.3475000001</v>
      </c>
      <c r="S17" s="821">
        <f t="shared" si="7"/>
        <v>9365758.620000001</v>
      </c>
    </row>
    <row r="18" spans="1:21" ht="22.5" customHeight="1">
      <c r="A18" s="820"/>
      <c r="B18" s="824" t="s">
        <v>223</v>
      </c>
      <c r="C18" s="821"/>
      <c r="D18" s="821">
        <f ca="1">' тарифікація 01.01'!AC450</f>
        <v>574466.80750000011</v>
      </c>
      <c r="E18" s="821">
        <f>D18</f>
        <v>574466.80750000011</v>
      </c>
      <c r="F18" s="821">
        <f ca="1">'тарифікація на 01. 04'!AC450</f>
        <v>522871.21750000003</v>
      </c>
      <c r="G18" s="821"/>
      <c r="H18" s="821"/>
      <c r="I18" s="821"/>
      <c r="J18" s="821"/>
      <c r="K18" s="821"/>
      <c r="L18" s="821">
        <f>F18</f>
        <v>522871.21750000003</v>
      </c>
      <c r="M18" s="821"/>
      <c r="N18" s="821"/>
      <c r="O18" s="821">
        <f>C18+D18+E18</f>
        <v>1148933.6150000002</v>
      </c>
      <c r="P18" s="821">
        <f>F18+G18+H18</f>
        <v>522871.21750000003</v>
      </c>
      <c r="Q18" s="821">
        <f>I18+J18+K18</f>
        <v>0</v>
      </c>
      <c r="R18" s="821">
        <f>L18+M18+N18</f>
        <v>522871.21750000003</v>
      </c>
      <c r="S18" s="821">
        <f>SUM(O18:R18)</f>
        <v>2194676.0500000003</v>
      </c>
    </row>
    <row r="19" spans="1:21" ht="18.75">
      <c r="A19" s="820"/>
      <c r="B19" s="826" t="s">
        <v>1698</v>
      </c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1">
        <f>C19+D19+E19</f>
        <v>0</v>
      </c>
      <c r="P19" s="821">
        <f>F19+G19+H19</f>
        <v>0</v>
      </c>
      <c r="Q19" s="821">
        <f>I19+J19+K19</f>
        <v>0</v>
      </c>
      <c r="R19" s="821">
        <f>L19+M19+N19</f>
        <v>0</v>
      </c>
      <c r="S19" s="821">
        <f>SUM(O19:R19)</f>
        <v>0</v>
      </c>
    </row>
    <row r="20" spans="1:21" ht="18.75">
      <c r="A20" s="820"/>
      <c r="B20" s="844" t="s">
        <v>1424</v>
      </c>
      <c r="C20" s="828">
        <f ca="1">SUM(C17:C19)</f>
        <v>741783.19249999989</v>
      </c>
      <c r="D20" s="828">
        <f t="shared" ref="D20:M20" si="14">SUM(D17:D19)</f>
        <v>1316250</v>
      </c>
      <c r="E20" s="828">
        <f t="shared" si="14"/>
        <v>1316250</v>
      </c>
      <c r="F20" s="828">
        <f t="shared" si="14"/>
        <v>1316250</v>
      </c>
      <c r="G20" s="828">
        <f t="shared" si="14"/>
        <v>793378.78249999997</v>
      </c>
      <c r="H20" s="828">
        <f t="shared" si="14"/>
        <v>793378.78249999997</v>
      </c>
      <c r="I20" s="828">
        <f t="shared" si="14"/>
        <v>793378.78249999997</v>
      </c>
      <c r="J20" s="828">
        <f t="shared" si="14"/>
        <v>793378.78249999997</v>
      </c>
      <c r="K20" s="828">
        <f t="shared" si="14"/>
        <v>793378.78249999997</v>
      </c>
      <c r="L20" s="828">
        <f t="shared" si="14"/>
        <v>1316250</v>
      </c>
      <c r="M20" s="828">
        <f t="shared" si="14"/>
        <v>793378.78249999997</v>
      </c>
      <c r="N20" s="828">
        <f t="shared" ref="N20:S20" si="15">SUM(N17:N19)</f>
        <v>793378.78249999997</v>
      </c>
      <c r="O20" s="828">
        <f t="shared" si="15"/>
        <v>3374283.1924999999</v>
      </c>
      <c r="P20" s="828">
        <f t="shared" si="15"/>
        <v>2903007.5650000004</v>
      </c>
      <c r="Q20" s="828">
        <f t="shared" si="15"/>
        <v>2380136.3475000001</v>
      </c>
      <c r="R20" s="828">
        <f t="shared" si="15"/>
        <v>2903007.5650000004</v>
      </c>
      <c r="S20" s="828">
        <f t="shared" si="15"/>
        <v>11560434.670000002</v>
      </c>
    </row>
    <row r="21" spans="1:21" ht="18.75">
      <c r="A21" s="820">
        <f>'[36]штат-розп'!K216</f>
        <v>43</v>
      </c>
      <c r="B21" s="843" t="s">
        <v>1582</v>
      </c>
      <c r="C21" s="821">
        <f ca="1">' тарифікація 01.01'!AB451</f>
        <v>329668.7</v>
      </c>
      <c r="D21" s="821">
        <f ca="1">C21</f>
        <v>329668.7</v>
      </c>
      <c r="E21" s="821">
        <f>D21</f>
        <v>329668.7</v>
      </c>
      <c r="F21" s="821">
        <f ca="1">'тарифікація на 01. 04'!AB451</f>
        <v>369268.7</v>
      </c>
      <c r="G21" s="821">
        <f t="shared" ref="G21:N22" si="16">F21</f>
        <v>369268.7</v>
      </c>
      <c r="H21" s="821">
        <f t="shared" si="16"/>
        <v>369268.7</v>
      </c>
      <c r="I21" s="821">
        <f t="shared" si="16"/>
        <v>369268.7</v>
      </c>
      <c r="J21" s="821">
        <f t="shared" si="16"/>
        <v>369268.7</v>
      </c>
      <c r="K21" s="821">
        <f t="shared" si="16"/>
        <v>369268.7</v>
      </c>
      <c r="L21" s="821">
        <f t="shared" si="16"/>
        <v>369268.7</v>
      </c>
      <c r="M21" s="821">
        <f t="shared" si="16"/>
        <v>369268.7</v>
      </c>
      <c r="N21" s="821">
        <f t="shared" si="16"/>
        <v>369268.7</v>
      </c>
      <c r="O21" s="821">
        <f t="shared" si="11"/>
        <v>989006.10000000009</v>
      </c>
      <c r="P21" s="821">
        <f t="shared" si="4"/>
        <v>1107806.1000000001</v>
      </c>
      <c r="Q21" s="821">
        <f t="shared" si="5"/>
        <v>1107806.1000000001</v>
      </c>
      <c r="R21" s="821">
        <f t="shared" si="6"/>
        <v>1107806.1000000001</v>
      </c>
      <c r="S21" s="821">
        <f t="shared" si="7"/>
        <v>4312424.4000000004</v>
      </c>
    </row>
    <row r="22" spans="1:21" ht="18.75">
      <c r="A22" s="820"/>
      <c r="B22" s="824" t="s">
        <v>278</v>
      </c>
      <c r="C22" s="821">
        <f>14509*1.1</f>
        <v>15959.900000000001</v>
      </c>
      <c r="D22" s="821">
        <f>C22</f>
        <v>15959.900000000001</v>
      </c>
      <c r="E22" s="821">
        <f>D22</f>
        <v>15959.900000000001</v>
      </c>
      <c r="F22" s="821">
        <f>E22</f>
        <v>15959.900000000001</v>
      </c>
      <c r="G22" s="821">
        <f t="shared" si="16"/>
        <v>15959.900000000001</v>
      </c>
      <c r="H22" s="821">
        <f t="shared" si="16"/>
        <v>15959.900000000001</v>
      </c>
      <c r="I22" s="821">
        <f t="shared" si="16"/>
        <v>15959.900000000001</v>
      </c>
      <c r="J22" s="821">
        <f t="shared" si="16"/>
        <v>15959.900000000001</v>
      </c>
      <c r="K22" s="821">
        <f t="shared" si="16"/>
        <v>15959.900000000001</v>
      </c>
      <c r="L22" s="821">
        <f t="shared" si="16"/>
        <v>15959.900000000001</v>
      </c>
      <c r="M22" s="821">
        <f t="shared" si="16"/>
        <v>15959.900000000001</v>
      </c>
      <c r="N22" s="821">
        <f t="shared" si="16"/>
        <v>15959.900000000001</v>
      </c>
      <c r="O22" s="821">
        <f t="shared" si="11"/>
        <v>47879.700000000004</v>
      </c>
      <c r="P22" s="821">
        <f t="shared" si="4"/>
        <v>47879.700000000004</v>
      </c>
      <c r="Q22" s="821">
        <f t="shared" si="5"/>
        <v>47879.700000000004</v>
      </c>
      <c r="R22" s="821">
        <f t="shared" si="6"/>
        <v>47879.700000000004</v>
      </c>
      <c r="S22" s="821">
        <f t="shared" si="7"/>
        <v>191518.80000000002</v>
      </c>
    </row>
    <row r="23" spans="1:21" ht="18.75">
      <c r="A23" s="820"/>
      <c r="B23" s="826" t="s">
        <v>1698</v>
      </c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>
        <f t="shared" si="11"/>
        <v>0</v>
      </c>
      <c r="P23" s="821">
        <f t="shared" si="4"/>
        <v>0</v>
      </c>
      <c r="Q23" s="821">
        <f t="shared" si="5"/>
        <v>0</v>
      </c>
      <c r="R23" s="821">
        <f t="shared" si="6"/>
        <v>0</v>
      </c>
      <c r="S23" s="821">
        <f t="shared" si="7"/>
        <v>0</v>
      </c>
      <c r="U23" s="84"/>
    </row>
    <row r="24" spans="1:21" ht="18.75">
      <c r="A24" s="820"/>
      <c r="B24" s="844" t="s">
        <v>1424</v>
      </c>
      <c r="C24" s="828">
        <f>SUM(C21:C23)</f>
        <v>345628.60000000003</v>
      </c>
      <c r="D24" s="828">
        <f t="shared" ref="D24:M24" si="17">SUM(D21:D23)</f>
        <v>345628.60000000003</v>
      </c>
      <c r="E24" s="828">
        <f t="shared" si="17"/>
        <v>345628.60000000003</v>
      </c>
      <c r="F24" s="828">
        <f t="shared" si="17"/>
        <v>385228.60000000003</v>
      </c>
      <c r="G24" s="828">
        <f t="shared" si="17"/>
        <v>385228.60000000003</v>
      </c>
      <c r="H24" s="828">
        <f t="shared" si="17"/>
        <v>385228.60000000003</v>
      </c>
      <c r="I24" s="828">
        <f t="shared" si="17"/>
        <v>385228.60000000003</v>
      </c>
      <c r="J24" s="828">
        <f t="shared" si="17"/>
        <v>385228.60000000003</v>
      </c>
      <c r="K24" s="828">
        <f t="shared" si="17"/>
        <v>385228.60000000003</v>
      </c>
      <c r="L24" s="828">
        <f t="shared" si="17"/>
        <v>385228.60000000003</v>
      </c>
      <c r="M24" s="828">
        <f t="shared" si="17"/>
        <v>385228.60000000003</v>
      </c>
      <c r="N24" s="828">
        <f>SUM(N21:N23)</f>
        <v>385228.60000000003</v>
      </c>
      <c r="O24" s="828">
        <f>C24+D24+E24</f>
        <v>1036885.8</v>
      </c>
      <c r="P24" s="828">
        <f>F24+G24+H24</f>
        <v>1155685.8</v>
      </c>
      <c r="Q24" s="828">
        <f>I24+J24+K24</f>
        <v>1155685.8</v>
      </c>
      <c r="R24" s="828">
        <f t="shared" ref="R24:R29" si="18">L24+M24+N24</f>
        <v>1155685.8</v>
      </c>
      <c r="S24" s="828">
        <f>SUM(O24:R24)</f>
        <v>4503943.2</v>
      </c>
      <c r="U24" s="84"/>
    </row>
    <row r="25" spans="1:21" ht="18.75">
      <c r="A25" s="820">
        <f>'[36]штат-розп'!K217</f>
        <v>43.5</v>
      </c>
      <c r="B25" s="843" t="s">
        <v>1399</v>
      </c>
      <c r="C25" s="821">
        <f ca="1">' тарифікація 01.01'!AB452</f>
        <v>310128</v>
      </c>
      <c r="D25" s="821">
        <f>C25</f>
        <v>310128</v>
      </c>
      <c r="E25" s="821">
        <f>D25</f>
        <v>310128</v>
      </c>
      <c r="F25" s="821">
        <f ca="1">'тарифікація на 01. 04'!AB452-V4/2</f>
        <v>309278</v>
      </c>
      <c r="G25" s="821">
        <f ca="1">'тарифікація на 01. 04'!AB452-V4</f>
        <v>269278</v>
      </c>
      <c r="H25" s="821">
        <f>G25</f>
        <v>269278</v>
      </c>
      <c r="I25" s="821">
        <f>H25</f>
        <v>269278</v>
      </c>
      <c r="J25" s="821">
        <f>I25</f>
        <v>269278</v>
      </c>
      <c r="K25" s="821">
        <f>J25</f>
        <v>269278</v>
      </c>
      <c r="L25" s="821">
        <f>F25</f>
        <v>309278</v>
      </c>
      <c r="M25" s="821">
        <f ca="1">'тарифікація на 01. 04'!AB452</f>
        <v>349278</v>
      </c>
      <c r="N25" s="821">
        <f>M25</f>
        <v>349278</v>
      </c>
      <c r="O25" s="821">
        <f t="shared" si="11"/>
        <v>930384</v>
      </c>
      <c r="P25" s="821">
        <f t="shared" si="4"/>
        <v>847834</v>
      </c>
      <c r="Q25" s="821">
        <f t="shared" si="5"/>
        <v>807834</v>
      </c>
      <c r="R25" s="821">
        <f t="shared" si="18"/>
        <v>1007834</v>
      </c>
      <c r="S25" s="821">
        <f t="shared" si="7"/>
        <v>3593886</v>
      </c>
    </row>
    <row r="26" spans="1:21" ht="18.75">
      <c r="A26" s="820"/>
      <c r="B26" s="824" t="s">
        <v>277</v>
      </c>
      <c r="C26" s="821">
        <f ca="1">1726*1.1+3260*1.1</f>
        <v>5484.6</v>
      </c>
      <c r="D26" s="821">
        <f>1726*1.1+3260*1.1</f>
        <v>5484.6</v>
      </c>
      <c r="E26" s="821">
        <f>1726*1.1+3260*1.1</f>
        <v>5484.6</v>
      </c>
      <c r="F26" s="821">
        <f ca="1">1726*1.1+3260/2*1.1</f>
        <v>3691.6000000000004</v>
      </c>
      <c r="G26" s="821">
        <f ca="1">1726*1.1</f>
        <v>1898.6000000000001</v>
      </c>
      <c r="H26" s="821">
        <f>1726*1.1</f>
        <v>1898.6000000000001</v>
      </c>
      <c r="I26" s="821">
        <f>1726*1.1</f>
        <v>1898.6000000000001</v>
      </c>
      <c r="J26" s="821">
        <f>1726*1.1</f>
        <v>1898.6000000000001</v>
      </c>
      <c r="K26" s="821">
        <f>1726*1.1</f>
        <v>1898.6000000000001</v>
      </c>
      <c r="L26" s="821">
        <f>1726*1.1+3260/2*1.1</f>
        <v>3691.6000000000004</v>
      </c>
      <c r="M26" s="821">
        <f>1726*1.1+3260*1.1</f>
        <v>5484.6</v>
      </c>
      <c r="N26" s="821">
        <f>1726*1.1+3260*1.1</f>
        <v>5484.6</v>
      </c>
      <c r="O26" s="821">
        <f>C26+D26+E26</f>
        <v>16453.800000000003</v>
      </c>
      <c r="P26" s="821">
        <f t="shared" si="4"/>
        <v>7488.8000000000011</v>
      </c>
      <c r="Q26" s="821">
        <f t="shared" si="5"/>
        <v>5695.8</v>
      </c>
      <c r="R26" s="821">
        <f t="shared" si="18"/>
        <v>14660.800000000001</v>
      </c>
      <c r="S26" s="821">
        <f t="shared" si="7"/>
        <v>44299.200000000004</v>
      </c>
    </row>
    <row r="27" spans="1:21" ht="18.75">
      <c r="A27" s="820"/>
      <c r="B27" s="826" t="s">
        <v>214</v>
      </c>
      <c r="C27" s="821">
        <f ca="1">' тарифікація 01.01'!AX452</f>
        <v>83200</v>
      </c>
      <c r="D27" s="821">
        <f>32629+76.12</f>
        <v>32705.119999999999</v>
      </c>
      <c r="E27" s="821"/>
      <c r="F27" s="821">
        <f ca="1">'тарифікація на 01. 04'!AX452</f>
        <v>71500</v>
      </c>
      <c r="G27" s="821">
        <f t="shared" ref="G27:N27" si="19">F27</f>
        <v>71500</v>
      </c>
      <c r="H27" s="821">
        <f t="shared" si="19"/>
        <v>71500</v>
      </c>
      <c r="I27" s="821">
        <f t="shared" si="19"/>
        <v>71500</v>
      </c>
      <c r="J27" s="821">
        <f t="shared" si="19"/>
        <v>71500</v>
      </c>
      <c r="K27" s="821">
        <f t="shared" si="19"/>
        <v>71500</v>
      </c>
      <c r="L27" s="821">
        <f t="shared" si="19"/>
        <v>71500</v>
      </c>
      <c r="M27" s="821">
        <f t="shared" si="19"/>
        <v>71500</v>
      </c>
      <c r="N27" s="821">
        <f t="shared" si="19"/>
        <v>71500</v>
      </c>
      <c r="O27" s="821">
        <f>C27+D27+E27</f>
        <v>115905.12</v>
      </c>
      <c r="P27" s="821">
        <f>F27+G27+H27</f>
        <v>214500</v>
      </c>
      <c r="Q27" s="821">
        <f t="shared" si="5"/>
        <v>214500</v>
      </c>
      <c r="R27" s="821">
        <f t="shared" si="18"/>
        <v>214500</v>
      </c>
      <c r="S27" s="821">
        <f t="shared" si="7"/>
        <v>759405.12</v>
      </c>
    </row>
    <row r="28" spans="1:21" ht="18.75">
      <c r="A28" s="820"/>
      <c r="B28" s="826" t="s">
        <v>1698</v>
      </c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>
        <f>C28+D28+E28</f>
        <v>0</v>
      </c>
      <c r="P28" s="821">
        <f>F28+G28+H28</f>
        <v>0</v>
      </c>
      <c r="Q28" s="821">
        <f t="shared" si="5"/>
        <v>0</v>
      </c>
      <c r="R28" s="821">
        <f t="shared" si="18"/>
        <v>0</v>
      </c>
      <c r="S28" s="821">
        <f t="shared" si="7"/>
        <v>0</v>
      </c>
    </row>
    <row r="29" spans="1:21" ht="18.75">
      <c r="A29" s="820"/>
      <c r="B29" s="844" t="s">
        <v>1424</v>
      </c>
      <c r="C29" s="828">
        <f>SUM(C25:C28)</f>
        <v>398812.6</v>
      </c>
      <c r="D29" s="828">
        <f t="shared" ref="D29:K29" si="20">SUM(D25:D28)</f>
        <v>348317.72</v>
      </c>
      <c r="E29" s="828">
        <f t="shared" si="20"/>
        <v>315612.59999999998</v>
      </c>
      <c r="F29" s="828">
        <f t="shared" si="20"/>
        <v>384469.6</v>
      </c>
      <c r="G29" s="828">
        <f t="shared" si="20"/>
        <v>342676.6</v>
      </c>
      <c r="H29" s="828">
        <f t="shared" si="20"/>
        <v>342676.6</v>
      </c>
      <c r="I29" s="828">
        <f t="shared" si="20"/>
        <v>342676.6</v>
      </c>
      <c r="J29" s="828">
        <f t="shared" si="20"/>
        <v>342676.6</v>
      </c>
      <c r="K29" s="828">
        <f t="shared" si="20"/>
        <v>342676.6</v>
      </c>
      <c r="L29" s="828">
        <f>SUM(L25:L28)</f>
        <v>384469.6</v>
      </c>
      <c r="M29" s="828">
        <f>SUM(M25:M28)</f>
        <v>426262.6</v>
      </c>
      <c r="N29" s="828">
        <f>SUM(N25:N28)</f>
        <v>426262.6</v>
      </c>
      <c r="O29" s="828">
        <f>C29+D29+E29</f>
        <v>1062742.92</v>
      </c>
      <c r="P29" s="828">
        <f>F29+G29+H29</f>
        <v>1069822.7999999998</v>
      </c>
      <c r="Q29" s="828">
        <f t="shared" si="5"/>
        <v>1028029.7999999999</v>
      </c>
      <c r="R29" s="828">
        <f t="shared" si="18"/>
        <v>1236994.7999999998</v>
      </c>
      <c r="S29" s="828">
        <f t="shared" si="7"/>
        <v>4397590.3199999994</v>
      </c>
    </row>
    <row r="30" spans="1:21" ht="18.75">
      <c r="A30" s="825"/>
      <c r="B30" s="825" t="s">
        <v>1840</v>
      </c>
      <c r="C30" s="827">
        <f>C7+C12+C16+C20+C24+C29</f>
        <v>2099629.73385</v>
      </c>
      <c r="D30" s="827">
        <f t="shared" ref="D30:N30" si="21">D7+D12+D16+D20+D24+D29</f>
        <v>3099425.0404500002</v>
      </c>
      <c r="E30" s="827">
        <f t="shared" si="21"/>
        <v>3066719.9204500001</v>
      </c>
      <c r="F30" s="827">
        <f t="shared" si="21"/>
        <v>3175176.9204500001</v>
      </c>
      <c r="G30" s="827">
        <f t="shared" si="21"/>
        <v>2140598.9801000003</v>
      </c>
      <c r="H30" s="827">
        <f t="shared" si="21"/>
        <v>2140598.9801000003</v>
      </c>
      <c r="I30" s="827">
        <f t="shared" si="21"/>
        <v>2140598.9801000003</v>
      </c>
      <c r="J30" s="827">
        <f t="shared" si="21"/>
        <v>2140598.9801000003</v>
      </c>
      <c r="K30" s="827">
        <f t="shared" si="21"/>
        <v>2140598.9801000003</v>
      </c>
      <c r="L30" s="827">
        <f t="shared" si="21"/>
        <v>3175176.9204500001</v>
      </c>
      <c r="M30" s="827">
        <f t="shared" si="21"/>
        <v>2224184.9801000003</v>
      </c>
      <c r="N30" s="827">
        <f t="shared" si="21"/>
        <v>2224184.9801000003</v>
      </c>
      <c r="O30" s="827">
        <f>O7+O12+O16+O20+O24+O29</f>
        <v>8265774.6947499998</v>
      </c>
      <c r="P30" s="827">
        <f>P7+P12+P16+P20+P24+P29</f>
        <v>7456374.8806499997</v>
      </c>
      <c r="Q30" s="827">
        <f>Q7+Q12+Q16+Q20+Q24+Q29</f>
        <v>6421796.9402999999</v>
      </c>
      <c r="R30" s="827">
        <f>R7+R12+R16+R20+R24+R29</f>
        <v>7623546.8806499997</v>
      </c>
      <c r="S30" s="827">
        <f>S7+S12+S16+S20+S24+S29</f>
        <v>29767493.39635</v>
      </c>
    </row>
    <row r="31" spans="1:21" ht="18.75">
      <c r="A31" s="825"/>
      <c r="B31" s="825" t="s">
        <v>1839</v>
      </c>
      <c r="C31" s="827">
        <f>C30*22%</f>
        <v>461918.541447</v>
      </c>
      <c r="D31" s="827">
        <f t="shared" ref="D31:N31" si="22">D30*22%</f>
        <v>681873.50889900001</v>
      </c>
      <c r="E31" s="827">
        <f t="shared" si="22"/>
        <v>674678.38249900006</v>
      </c>
      <c r="F31" s="827">
        <f t="shared" si="22"/>
        <v>698538.92249899998</v>
      </c>
      <c r="G31" s="827">
        <f t="shared" si="22"/>
        <v>470931.77562200004</v>
      </c>
      <c r="H31" s="827">
        <f t="shared" si="22"/>
        <v>470931.77562200004</v>
      </c>
      <c r="I31" s="827">
        <f t="shared" si="22"/>
        <v>470931.77562200004</v>
      </c>
      <c r="J31" s="827">
        <f t="shared" si="22"/>
        <v>470931.77562200004</v>
      </c>
      <c r="K31" s="827">
        <f t="shared" si="22"/>
        <v>470931.77562200004</v>
      </c>
      <c r="L31" s="827">
        <f t="shared" si="22"/>
        <v>698538.92249899998</v>
      </c>
      <c r="M31" s="827">
        <f t="shared" si="22"/>
        <v>489320.69562200009</v>
      </c>
      <c r="N31" s="827">
        <f t="shared" si="22"/>
        <v>489320.69562200009</v>
      </c>
      <c r="O31" s="828">
        <f>C31+D31+E31</f>
        <v>1818470.4328450002</v>
      </c>
      <c r="P31" s="828">
        <f>F31+G31+H31</f>
        <v>1640402.4737430001</v>
      </c>
      <c r="Q31" s="828">
        <f>I31+J31+K31</f>
        <v>1412795.3268660002</v>
      </c>
      <c r="R31" s="828">
        <f>L31+M31+N31</f>
        <v>1677180.3137430002</v>
      </c>
      <c r="S31" s="828">
        <f>SUM(O31:R31)</f>
        <v>6548848.5471970001</v>
      </c>
    </row>
    <row r="32" spans="1:21" ht="18.75">
      <c r="A32" s="825"/>
      <c r="B32" s="825" t="s">
        <v>1424</v>
      </c>
      <c r="C32" s="827">
        <f>C30+C31</f>
        <v>2561548.2752970001</v>
      </c>
      <c r="D32" s="827">
        <f t="shared" ref="D32:M32" si="23">D30+D31</f>
        <v>3781298.5493490002</v>
      </c>
      <c r="E32" s="827">
        <f t="shared" si="23"/>
        <v>3741398.3029490001</v>
      </c>
      <c r="F32" s="827">
        <f t="shared" si="23"/>
        <v>3873715.8429490002</v>
      </c>
      <c r="G32" s="827">
        <f t="shared" si="23"/>
        <v>2611530.7557220003</v>
      </c>
      <c r="H32" s="827">
        <f t="shared" si="23"/>
        <v>2611530.7557220003</v>
      </c>
      <c r="I32" s="827">
        <f>I30+I31</f>
        <v>2611530.7557220003</v>
      </c>
      <c r="J32" s="827">
        <f t="shared" si="23"/>
        <v>2611530.7557220003</v>
      </c>
      <c r="K32" s="827">
        <f t="shared" si="23"/>
        <v>2611530.7557220003</v>
      </c>
      <c r="L32" s="827">
        <f t="shared" si="23"/>
        <v>3873715.8429490002</v>
      </c>
      <c r="M32" s="827">
        <f t="shared" si="23"/>
        <v>2713505.6757220002</v>
      </c>
      <c r="N32" s="827">
        <f>N30+N31</f>
        <v>2713505.6757220002</v>
      </c>
      <c r="O32" s="828">
        <f>C32+D32+E32</f>
        <v>10084245.127595</v>
      </c>
      <c r="P32" s="828">
        <f>F32+G32+H32</f>
        <v>9096777.3543930016</v>
      </c>
      <c r="Q32" s="828">
        <f>I32+J32+K32</f>
        <v>7834592.2671660008</v>
      </c>
      <c r="R32" s="828">
        <f>L32+M32+N32</f>
        <v>9300727.1943930015</v>
      </c>
      <c r="S32" s="828">
        <f>SUM(O32:R32)</f>
        <v>36316341.943547003</v>
      </c>
    </row>
    <row r="33" spans="2:21">
      <c r="S33" s="84"/>
    </row>
    <row r="34" spans="2:21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U34" s="84"/>
    </row>
    <row r="35" spans="2:21" ht="18.75">
      <c r="B35" s="829" t="s">
        <v>215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5" t="s">
        <v>221</v>
      </c>
      <c r="P35" s="845" t="s">
        <v>224</v>
      </c>
      <c r="Q35" s="845" t="s">
        <v>225</v>
      </c>
      <c r="R35" s="845" t="s">
        <v>222</v>
      </c>
      <c r="S35" s="845" t="s">
        <v>1590</v>
      </c>
    </row>
    <row r="36" spans="2:21" ht="18.75">
      <c r="B36" s="823" t="s">
        <v>216</v>
      </c>
      <c r="C36" s="830">
        <f>C7+C12</f>
        <v>233388.05009999999</v>
      </c>
      <c r="D36" s="830">
        <f t="shared" ref="D36:M36" si="24">D7+D12</f>
        <v>284228.72044999996</v>
      </c>
      <c r="E36" s="830">
        <f t="shared" si="24"/>
        <v>284228.72044999996</v>
      </c>
      <c r="F36" s="830">
        <f t="shared" si="24"/>
        <v>284228.72044999996</v>
      </c>
      <c r="G36" s="830">
        <f t="shared" si="24"/>
        <v>233388.05009999999</v>
      </c>
      <c r="H36" s="830">
        <f t="shared" si="24"/>
        <v>233388.05009999999</v>
      </c>
      <c r="I36" s="830">
        <f t="shared" si="24"/>
        <v>233388.05009999999</v>
      </c>
      <c r="J36" s="830">
        <f t="shared" si="24"/>
        <v>233388.05009999999</v>
      </c>
      <c r="K36" s="830">
        <f t="shared" si="24"/>
        <v>233388.05009999999</v>
      </c>
      <c r="L36" s="830">
        <f t="shared" si="24"/>
        <v>284228.72044999996</v>
      </c>
      <c r="M36" s="830">
        <f t="shared" si="24"/>
        <v>233388.05009999999</v>
      </c>
      <c r="N36" s="830">
        <f>N7+N12</f>
        <v>233388.05009999999</v>
      </c>
      <c r="O36" s="821">
        <f>C36+D36+E36</f>
        <v>801845.49099999992</v>
      </c>
      <c r="P36" s="821">
        <f>F36+G36+H36</f>
        <v>751004.82064999989</v>
      </c>
      <c r="Q36" s="821">
        <f>I36+J36+K36</f>
        <v>700164.15029999998</v>
      </c>
      <c r="R36" s="821">
        <f>L36+M36+N36</f>
        <v>751004.82064999989</v>
      </c>
      <c r="S36" s="821">
        <f>SUM(O36:R36)</f>
        <v>3004019.2825999996</v>
      </c>
    </row>
    <row r="37" spans="2:21" ht="18.75">
      <c r="B37" s="823" t="s">
        <v>1539</v>
      </c>
      <c r="C37" s="830">
        <f>C36*22%</f>
        <v>51345.371021999999</v>
      </c>
      <c r="D37" s="830">
        <f t="shared" ref="D37:N37" si="25">D36*22%</f>
        <v>62530.318498999994</v>
      </c>
      <c r="E37" s="830">
        <f t="shared" si="25"/>
        <v>62530.318498999994</v>
      </c>
      <c r="F37" s="830">
        <f t="shared" si="25"/>
        <v>62530.318498999994</v>
      </c>
      <c r="G37" s="830">
        <f t="shared" si="25"/>
        <v>51345.371021999999</v>
      </c>
      <c r="H37" s="830">
        <f t="shared" si="25"/>
        <v>51345.371021999999</v>
      </c>
      <c r="I37" s="830">
        <f t="shared" si="25"/>
        <v>51345.371021999999</v>
      </c>
      <c r="J37" s="830">
        <f t="shared" si="25"/>
        <v>51345.371021999999</v>
      </c>
      <c r="K37" s="830">
        <f t="shared" si="25"/>
        <v>51345.371021999999</v>
      </c>
      <c r="L37" s="830">
        <f t="shared" si="25"/>
        <v>62530.318498999994</v>
      </c>
      <c r="M37" s="830">
        <f t="shared" si="25"/>
        <v>51345.371021999999</v>
      </c>
      <c r="N37" s="830">
        <f t="shared" si="25"/>
        <v>51345.371021999999</v>
      </c>
      <c r="O37" s="830">
        <f>O36*22%</f>
        <v>176406.00801999998</v>
      </c>
      <c r="P37" s="830">
        <f>P36*22%</f>
        <v>165221.06054299997</v>
      </c>
      <c r="Q37" s="830">
        <f>Q36*22%</f>
        <v>154036.11306599999</v>
      </c>
      <c r="R37" s="830">
        <f>R36*22%</f>
        <v>165221.06054299997</v>
      </c>
      <c r="S37" s="830">
        <f>S36*22%</f>
        <v>660884.24217199988</v>
      </c>
    </row>
    <row r="38" spans="2:21" ht="18.75">
      <c r="B38" s="831" t="s">
        <v>1424</v>
      </c>
      <c r="C38" s="830">
        <f>C36+C37</f>
        <v>284733.42112199997</v>
      </c>
      <c r="D38" s="830">
        <f t="shared" ref="D38:S38" si="26">D36+D37</f>
        <v>346759.03894899995</v>
      </c>
      <c r="E38" s="830">
        <f t="shared" si="26"/>
        <v>346759.03894899995</v>
      </c>
      <c r="F38" s="830">
        <f t="shared" si="26"/>
        <v>346759.03894899995</v>
      </c>
      <c r="G38" s="830">
        <f t="shared" si="26"/>
        <v>284733.42112199997</v>
      </c>
      <c r="H38" s="830">
        <f t="shared" si="26"/>
        <v>284733.42112199997</v>
      </c>
      <c r="I38" s="830">
        <f t="shared" si="26"/>
        <v>284733.42112199997</v>
      </c>
      <c r="J38" s="830">
        <f t="shared" si="26"/>
        <v>284733.42112199997</v>
      </c>
      <c r="K38" s="830">
        <f t="shared" si="26"/>
        <v>284733.42112199997</v>
      </c>
      <c r="L38" s="830">
        <f t="shared" si="26"/>
        <v>346759.03894899995</v>
      </c>
      <c r="M38" s="830">
        <f t="shared" si="26"/>
        <v>284733.42112199997</v>
      </c>
      <c r="N38" s="830">
        <f t="shared" si="26"/>
        <v>284733.42112199997</v>
      </c>
      <c r="O38" s="830">
        <f t="shared" si="26"/>
        <v>978251.49901999987</v>
      </c>
      <c r="P38" s="830">
        <f t="shared" si="26"/>
        <v>916225.88119299989</v>
      </c>
      <c r="Q38" s="830">
        <f t="shared" si="26"/>
        <v>854200.26336600003</v>
      </c>
      <c r="R38" s="830">
        <f t="shared" si="26"/>
        <v>916225.88119299989</v>
      </c>
      <c r="S38" s="830">
        <f t="shared" si="26"/>
        <v>3664903.5247719996</v>
      </c>
    </row>
    <row r="39" spans="2:21">
      <c r="F39" s="73"/>
    </row>
    <row r="40" spans="2:21" ht="18.75">
      <c r="F40" s="73"/>
      <c r="N40" s="847" t="s">
        <v>226</v>
      </c>
      <c r="O40" s="848">
        <f t="shared" ref="O40:R41" si="27">O30-O36</f>
        <v>7463929.2037499994</v>
      </c>
      <c r="P40" s="848">
        <f t="shared" si="27"/>
        <v>6705370.0599999996</v>
      </c>
      <c r="Q40" s="848">
        <f t="shared" si="27"/>
        <v>5721632.79</v>
      </c>
      <c r="R40" s="848">
        <f t="shared" si="27"/>
        <v>6872542.0599999996</v>
      </c>
      <c r="S40" s="848">
        <f>O40+P40+Q40+R40</f>
        <v>26763474.113749996</v>
      </c>
    </row>
    <row r="41" spans="2:21" ht="18.75">
      <c r="F41" s="73"/>
      <c r="N41" s="847" t="s">
        <v>227</v>
      </c>
      <c r="O41" s="848">
        <f t="shared" si="27"/>
        <v>1642064.4248250001</v>
      </c>
      <c r="P41" s="848">
        <f t="shared" si="27"/>
        <v>1475181.4132000001</v>
      </c>
      <c r="Q41" s="848">
        <f t="shared" si="27"/>
        <v>1258759.2138000003</v>
      </c>
      <c r="R41" s="848">
        <f t="shared" si="27"/>
        <v>1511959.2532000002</v>
      </c>
      <c r="S41" s="848">
        <f>O41+P41+Q41+R41</f>
        <v>5887964.3050250001</v>
      </c>
    </row>
    <row r="43" spans="2:21">
      <c r="S43" s="84" t="b">
        <f>S38+S40+S41=S32</f>
        <v>1</v>
      </c>
    </row>
    <row r="44" spans="2:21" ht="21">
      <c r="L44" s="84"/>
      <c r="S44" s="846"/>
    </row>
    <row r="46" spans="2:21">
      <c r="S46" s="84"/>
    </row>
    <row r="47" spans="2:21" ht="21">
      <c r="S47" s="833"/>
    </row>
  </sheetData>
  <mergeCells count="1">
    <mergeCell ref="B1:R1"/>
  </mergeCells>
  <phoneticPr fontId="55" type="noConversion"/>
  <pageMargins left="0.7" right="0.7" top="0.75" bottom="0.75" header="0.3" footer="0.3"/>
  <pageSetup paperSize="9" scale="2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!!! ФІНАНСОВИЙ ПЛАН 2023 !!!</vt:lpstr>
      <vt:lpstr>Доходи</vt:lpstr>
      <vt:lpstr>Видатки</vt:lpstr>
      <vt:lpstr>ОЗ-ІНМА</vt:lpstr>
      <vt:lpstr>2210</vt:lpstr>
      <vt:lpstr>2220</vt:lpstr>
      <vt:lpstr>2230</vt:lpstr>
      <vt:lpstr>2240</vt:lpstr>
      <vt:lpstr>ФОП</vt:lpstr>
      <vt:lpstr> тарифікація 01.01</vt:lpstr>
      <vt:lpstr>тарифікація на 01. 04</vt:lpstr>
      <vt:lpstr>Енергоносії...</vt:lpstr>
      <vt:lpstr>Програма МБ 2023 рік</vt:lpstr>
      <vt:lpstr>0</vt:lpstr>
      <vt:lpstr>до_1_року</vt:lpstr>
      <vt:lpstr>'!!! ФІНАНСОВИЙ ПЛАН 2023 !!!'!Заголовки_для_печати</vt:lpstr>
      <vt:lpstr>лікарі</vt:lpstr>
      <vt:lpstr>' тарифікація 01.01'!Область_печати</vt:lpstr>
      <vt:lpstr>'!!! ФІНАНСОВИЙ ПЛАН 2023 !!!'!Область_печати</vt:lpstr>
      <vt:lpstr>'2210'!Область_печати</vt:lpstr>
      <vt:lpstr>'2220'!Область_печати</vt:lpstr>
      <vt:lpstr>'2230'!Область_печати</vt:lpstr>
      <vt:lpstr>'2240'!Область_печати</vt:lpstr>
      <vt:lpstr>Доходи!Область_печати</vt:lpstr>
      <vt:lpstr>'ОЗ-ІНМА'!Область_печати</vt:lpstr>
      <vt:lpstr>'Програма МБ 2023 рік'!Область_печати</vt:lpstr>
      <vt:lpstr>'тарифікація на 01. 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2020-12-03T07:48:53Z</cp:lastPrinted>
  <dcterms:created xsi:type="dcterms:W3CDTF">2015-06-05T18:19:34Z</dcterms:created>
  <dcterms:modified xsi:type="dcterms:W3CDTF">2024-04-10T11:12:00Z</dcterms:modified>
</cp:coreProperties>
</file>